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xr:revisionPtr revIDLastSave="0" documentId="8_{C6622F3E-8BF8-4E70-81FD-220DEEEF0351}" xr6:coauthVersionLast="47" xr6:coauthVersionMax="47" xr10:uidLastSave="{00000000-0000-0000-0000-000000000000}"/>
  <bookViews>
    <workbookView xWindow="2895" yWindow="2895" windowWidth="15360" windowHeight="9360" firstSheet="3" activeTab="3" xr2:uid="{00000000-000D-0000-FFFF-FFFF00000000}"/>
  </bookViews>
  <sheets>
    <sheet name="OEM" sheetId="53221" state="hidden" r:id="rId1"/>
    <sheet name="OEM DESP" sheetId="9233" state="hidden" r:id="rId2"/>
    <sheet name="summary march,13 (2)" sheetId="53239" state="hidden" r:id="rId3"/>
    <sheet name="Summary " sheetId="53244" r:id="rId4"/>
    <sheet name="Excise Dispatch " sheetId="53245" r:id="rId5"/>
    <sheet name="SMT KIT Rcvd " sheetId="53246" r:id="rId6"/>
    <sheet name="MI RECVD DRIVER" sheetId="53255" state="hidden" r:id="rId7"/>
    <sheet name="SMTL2 PCV rcvd" sheetId="53254" state="hidden" r:id="rId8"/>
    <sheet name="Sheet1" sheetId="53256" state="hidden" r:id="rId9"/>
    <sheet name="PACK Prod" sheetId="53253" r:id="rId10"/>
  </sheets>
  <definedNames>
    <definedName name="_xlnm._FilterDatabase" localSheetId="4" hidden="1">'Excise Dispatch '!$A$2:$AI$578</definedName>
    <definedName name="_xlnm._FilterDatabase" localSheetId="0" hidden="1">OEM!$A$2:$I$121</definedName>
    <definedName name="_xlnm._FilterDatabase" localSheetId="9" hidden="1">'PACK Prod'!$A$2:$AI$578</definedName>
    <definedName name="_xlnm._FilterDatabase" localSheetId="5" hidden="1">'SMT KIT Rcvd '!$A$2:$AI$578</definedName>
    <definedName name="_xlnm._FilterDatabase" localSheetId="3" hidden="1">'Summary '!$A$4:$M$579</definedName>
    <definedName name="_xlnm.Print_Area" localSheetId="3">'Summary '!$B$1:$L$578</definedName>
  </definedNames>
  <calcPr calcId="181029"/>
  <fileRecoveryPr autoRecover="0"/>
</workbook>
</file>

<file path=xl/calcChain.xml><?xml version="1.0" encoding="utf-8"?>
<calcChain xmlns="http://schemas.openxmlformats.org/spreadsheetml/2006/main">
  <c r="D577" i="53253" l="1"/>
  <c r="D576" i="53253"/>
  <c r="D575" i="53253"/>
  <c r="D574" i="53253"/>
  <c r="D573" i="53253"/>
  <c r="D572" i="53253"/>
  <c r="D571" i="53253"/>
  <c r="D570" i="53253"/>
  <c r="D569" i="53253"/>
  <c r="D568" i="53253"/>
  <c r="D567" i="53253"/>
  <c r="D566" i="53253"/>
  <c r="D565" i="53253"/>
  <c r="D564" i="53253"/>
  <c r="D563" i="53253"/>
  <c r="D562" i="53253"/>
  <c r="D561" i="53253"/>
  <c r="D560" i="53253"/>
  <c r="D559" i="53253"/>
  <c r="D558" i="53253"/>
  <c r="D557" i="53253"/>
  <c r="D556" i="53253"/>
  <c r="D555" i="53253"/>
  <c r="D554" i="53253"/>
  <c r="D553" i="53253"/>
  <c r="D552" i="53253"/>
  <c r="D551" i="53253"/>
  <c r="D550" i="53253"/>
  <c r="D549" i="53253"/>
  <c r="D548" i="53253"/>
  <c r="D547" i="53253"/>
  <c r="D546" i="53253"/>
  <c r="D545" i="53253"/>
  <c r="D544" i="53253"/>
  <c r="D543" i="53253"/>
  <c r="D542" i="53253"/>
  <c r="D541" i="53253"/>
  <c r="D540" i="53253"/>
  <c r="D539" i="53253"/>
  <c r="D538" i="53253"/>
  <c r="D537" i="53253"/>
  <c r="AI536" i="53253"/>
  <c r="AH536" i="53253"/>
  <c r="AG536" i="53253"/>
  <c r="AF536" i="53253"/>
  <c r="AE536" i="53253"/>
  <c r="AD536" i="53253"/>
  <c r="AC536" i="53253"/>
  <c r="AB536" i="53253"/>
  <c r="AA536" i="53253"/>
  <c r="Z536" i="53253"/>
  <c r="Y536" i="53253"/>
  <c r="X536" i="53253"/>
  <c r="W536" i="53253"/>
  <c r="V536" i="53253"/>
  <c r="U536" i="53253"/>
  <c r="T536" i="53253"/>
  <c r="S536" i="53253"/>
  <c r="R536" i="53253"/>
  <c r="Q536" i="53253"/>
  <c r="P536" i="53253"/>
  <c r="O536" i="53253"/>
  <c r="N536" i="53253"/>
  <c r="M536" i="53253"/>
  <c r="L536" i="53253"/>
  <c r="K536" i="53253"/>
  <c r="J536" i="53253"/>
  <c r="I536" i="53253"/>
  <c r="H536" i="53253"/>
  <c r="G536" i="53253"/>
  <c r="F536" i="53253"/>
  <c r="E536" i="53253"/>
  <c r="D536" i="53253"/>
  <c r="D535" i="53253"/>
  <c r="D534" i="53253"/>
  <c r="D533" i="53253"/>
  <c r="D532" i="53253"/>
  <c r="D531" i="53253"/>
  <c r="D530" i="53253"/>
  <c r="D529" i="53253"/>
  <c r="D528" i="53253"/>
  <c r="D527" i="53253"/>
  <c r="X526" i="53253"/>
  <c r="W526" i="53253"/>
  <c r="D526" i="53253" s="1"/>
  <c r="D525" i="53253"/>
  <c r="D524" i="53253"/>
  <c r="D523" i="53253"/>
  <c r="D522" i="53253"/>
  <c r="D521" i="53253"/>
  <c r="D520" i="53253"/>
  <c r="D519" i="53253"/>
  <c r="D518" i="53253"/>
  <c r="D517" i="53253"/>
  <c r="D516" i="53253"/>
  <c r="D515" i="53253"/>
  <c r="D514" i="53253"/>
  <c r="D513" i="53253"/>
  <c r="D512" i="53253"/>
  <c r="D511" i="53253"/>
  <c r="D510" i="53253"/>
  <c r="P509" i="53253"/>
  <c r="D509" i="53253"/>
  <c r="D508" i="53253"/>
  <c r="D507" i="53253"/>
  <c r="AB506" i="53253"/>
  <c r="D506" i="53253"/>
  <c r="D505" i="53253"/>
  <c r="O504" i="53253"/>
  <c r="D504" i="53253" s="1"/>
  <c r="D503" i="53253"/>
  <c r="D502" i="53253"/>
  <c r="AH501" i="53253"/>
  <c r="Z501" i="53253"/>
  <c r="Z495" i="53253" s="1"/>
  <c r="Q501" i="53253"/>
  <c r="M501" i="53253"/>
  <c r="L501" i="53253"/>
  <c r="I501" i="53253"/>
  <c r="D501" i="53253" s="1"/>
  <c r="U500" i="53253"/>
  <c r="D500" i="53253"/>
  <c r="D499" i="53253"/>
  <c r="AD498" i="53253"/>
  <c r="AD495" i="53253" s="1"/>
  <c r="W498" i="53253"/>
  <c r="O498" i="53253"/>
  <c r="O495" i="53253" s="1"/>
  <c r="N498" i="53253"/>
  <c r="N495" i="53253" s="1"/>
  <c r="K498" i="53253"/>
  <c r="D498" i="53253" s="1"/>
  <c r="G498" i="53253"/>
  <c r="D497" i="53253"/>
  <c r="D495" i="53253" s="1"/>
  <c r="D496" i="53253"/>
  <c r="AI495" i="53253"/>
  <c r="AH495" i="53253"/>
  <c r="AG495" i="53253"/>
  <c r="AF495" i="53253"/>
  <c r="AE495" i="53253"/>
  <c r="AC495" i="53253"/>
  <c r="AB495" i="53253"/>
  <c r="AA495" i="53253"/>
  <c r="Y495" i="53253"/>
  <c r="X495" i="53253"/>
  <c r="W495" i="53253"/>
  <c r="V495" i="53253"/>
  <c r="U495" i="53253"/>
  <c r="T495" i="53253"/>
  <c r="S495" i="53253"/>
  <c r="R495" i="53253"/>
  <c r="Q495" i="53253"/>
  <c r="P495" i="53253"/>
  <c r="M495" i="53253"/>
  <c r="L495" i="53253"/>
  <c r="K495" i="53253"/>
  <c r="J495" i="53253"/>
  <c r="I495" i="53253"/>
  <c r="H495" i="53253"/>
  <c r="G495" i="53253"/>
  <c r="F495" i="53253"/>
  <c r="E495" i="53253"/>
  <c r="D494" i="53253"/>
  <c r="AH493" i="53253"/>
  <c r="AG493" i="53253"/>
  <c r="AF493" i="53253"/>
  <c r="AD493" i="53253"/>
  <c r="AC493" i="53253"/>
  <c r="AA493" i="53253"/>
  <c r="Z493" i="53253"/>
  <c r="Y493" i="53253"/>
  <c r="N493" i="53253"/>
  <c r="D493" i="53253"/>
  <c r="D492" i="53253"/>
  <c r="D491" i="53253"/>
  <c r="I490" i="53253"/>
  <c r="D490" i="53253"/>
  <c r="D489" i="53253"/>
  <c r="D488" i="53253"/>
  <c r="X487" i="53253"/>
  <c r="W487" i="53253"/>
  <c r="D487" i="53253" s="1"/>
  <c r="V487" i="53253"/>
  <c r="D486" i="53253"/>
  <c r="D485" i="53253"/>
  <c r="D484" i="53253"/>
  <c r="D483" i="53253"/>
  <c r="G482" i="53253"/>
  <c r="D482" i="53253"/>
  <c r="G481" i="53253"/>
  <c r="D481" i="53253"/>
  <c r="AA480" i="53253"/>
  <c r="D480" i="53253"/>
  <c r="D479" i="53253"/>
  <c r="D478" i="53253"/>
  <c r="D477" i="53253"/>
  <c r="D476" i="53253"/>
  <c r="X475" i="53253"/>
  <c r="P475" i="53253"/>
  <c r="O475" i="53253"/>
  <c r="D475" i="53253"/>
  <c r="AE474" i="53253"/>
  <c r="AD474" i="53253"/>
  <c r="AC474" i="53253"/>
  <c r="Y474" i="53253"/>
  <c r="D474" i="53253" s="1"/>
  <c r="X474" i="53253"/>
  <c r="V473" i="53253"/>
  <c r="D473" i="53253"/>
  <c r="V472" i="53253"/>
  <c r="D472" i="53253"/>
  <c r="U471" i="53253"/>
  <c r="D471" i="53253"/>
  <c r="D470" i="53253"/>
  <c r="P469" i="53253"/>
  <c r="O469" i="53253"/>
  <c r="D469" i="53253"/>
  <c r="D468" i="53253"/>
  <c r="D467" i="53253"/>
  <c r="D466" i="53253"/>
  <c r="D465" i="53253"/>
  <c r="D464" i="53253"/>
  <c r="AC463" i="53253"/>
  <c r="D463" i="53253" s="1"/>
  <c r="N462" i="53253"/>
  <c r="D462" i="53253" s="1"/>
  <c r="L462" i="53253"/>
  <c r="D461" i="53253"/>
  <c r="AH460" i="53253"/>
  <c r="D460" i="53253" s="1"/>
  <c r="AF460" i="53253"/>
  <c r="AH459" i="53253"/>
  <c r="AA459" i="53253"/>
  <c r="Z459" i="53253"/>
  <c r="I459" i="53253"/>
  <c r="D459" i="53253" s="1"/>
  <c r="P458" i="53253"/>
  <c r="D458" i="53253" s="1"/>
  <c r="X457" i="53253"/>
  <c r="D457" i="53253" s="1"/>
  <c r="AE456" i="53253"/>
  <c r="AE336" i="53253" s="1"/>
  <c r="U456" i="53253"/>
  <c r="U336" i="53253" s="1"/>
  <c r="D455" i="53253"/>
  <c r="D454" i="53253"/>
  <c r="D453" i="53253"/>
  <c r="D452" i="53253"/>
  <c r="P451" i="53253"/>
  <c r="K451" i="53253"/>
  <c r="D451" i="53253" s="1"/>
  <c r="D450" i="53253"/>
  <c r="I449" i="53253"/>
  <c r="D449" i="53253"/>
  <c r="AE448" i="53253"/>
  <c r="AD448" i="53253"/>
  <c r="AC448" i="53253"/>
  <c r="P448" i="53253"/>
  <c r="O448" i="53253"/>
  <c r="N448" i="53253"/>
  <c r="M448" i="53253"/>
  <c r="L448" i="53253"/>
  <c r="D448" i="53253" s="1"/>
  <c r="K448" i="53253"/>
  <c r="D447" i="53253"/>
  <c r="D446" i="53253"/>
  <c r="D445" i="53253"/>
  <c r="V444" i="53253"/>
  <c r="U444" i="53253"/>
  <c r="D444" i="53253"/>
  <c r="K443" i="53253"/>
  <c r="D443" i="53253"/>
  <c r="D442" i="53253"/>
  <c r="D441" i="53253"/>
  <c r="Z440" i="53253"/>
  <c r="D440" i="53253"/>
  <c r="D439" i="53253"/>
  <c r="G438" i="53253"/>
  <c r="W437" i="53253"/>
  <c r="D437" i="53253" s="1"/>
  <c r="D436" i="53253"/>
  <c r="D435" i="53253"/>
  <c r="D434" i="53253"/>
  <c r="D433" i="53253"/>
  <c r="Q432" i="53253"/>
  <c r="J432" i="53253"/>
  <c r="I432" i="53253"/>
  <c r="H432" i="53253"/>
  <c r="D432" i="53253"/>
  <c r="N431" i="53253"/>
  <c r="D431" i="53253"/>
  <c r="Z430" i="53253"/>
  <c r="D430" i="53253"/>
  <c r="D429" i="53253"/>
  <c r="D428" i="53253"/>
  <c r="D427" i="53253"/>
  <c r="D426" i="53253"/>
  <c r="D425" i="53253"/>
  <c r="AA424" i="53253"/>
  <c r="N424" i="53253"/>
  <c r="L424" i="53253"/>
  <c r="D424" i="53253" s="1"/>
  <c r="D423" i="53253"/>
  <c r="D422" i="53253"/>
  <c r="D421" i="53253"/>
  <c r="D420" i="53253"/>
  <c r="D419" i="53253"/>
  <c r="D418" i="53253"/>
  <c r="D417" i="53253"/>
  <c r="D416" i="53253"/>
  <c r="D415" i="53253"/>
  <c r="D414" i="53253"/>
  <c r="D413" i="53253"/>
  <c r="D412" i="53253"/>
  <c r="AG411" i="53253"/>
  <c r="D411" i="53253" s="1"/>
  <c r="D410" i="53253"/>
  <c r="D409" i="53253"/>
  <c r="W408" i="53253"/>
  <c r="D408" i="53253" s="1"/>
  <c r="D407" i="53253"/>
  <c r="M406" i="53253"/>
  <c r="D406" i="53253"/>
  <c r="W405" i="53253"/>
  <c r="V405" i="53253"/>
  <c r="D405" i="53253" s="1"/>
  <c r="D404" i="53253"/>
  <c r="D403" i="53253"/>
  <c r="D402" i="53253"/>
  <c r="D401" i="53253"/>
  <c r="D400" i="53253"/>
  <c r="X399" i="53253"/>
  <c r="D399" i="53253"/>
  <c r="W398" i="53253"/>
  <c r="D398" i="53253"/>
  <c r="AF397" i="53253"/>
  <c r="D397" i="53253"/>
  <c r="AB396" i="53253"/>
  <c r="D396" i="53253"/>
  <c r="D395" i="53253"/>
  <c r="D394" i="53253"/>
  <c r="D393" i="53253"/>
  <c r="AF392" i="53253"/>
  <c r="D392" i="53253" s="1"/>
  <c r="D391" i="53253"/>
  <c r="AF390" i="53253"/>
  <c r="D390" i="53253"/>
  <c r="D389" i="53253"/>
  <c r="D388" i="53253"/>
  <c r="D387" i="53253"/>
  <c r="D386" i="53253"/>
  <c r="AH385" i="53253"/>
  <c r="D385" i="53253"/>
  <c r="D384" i="53253"/>
  <c r="Q383" i="53253"/>
  <c r="P383" i="53253"/>
  <c r="O383" i="53253"/>
  <c r="L383" i="53253"/>
  <c r="K383" i="53253"/>
  <c r="D382" i="53253"/>
  <c r="D381" i="53253"/>
  <c r="D380" i="53253"/>
  <c r="K379" i="53253"/>
  <c r="D379" i="53253"/>
  <c r="D378" i="53253"/>
  <c r="AD377" i="53253"/>
  <c r="D377" i="53253" s="1"/>
  <c r="D376" i="53253"/>
  <c r="D375" i="53253"/>
  <c r="D374" i="53253"/>
  <c r="AA373" i="53253"/>
  <c r="D373" i="53253"/>
  <c r="AB372" i="53253"/>
  <c r="D372" i="53253"/>
  <c r="AB371" i="53253"/>
  <c r="D371" i="53253"/>
  <c r="D370" i="53253"/>
  <c r="D369" i="53253"/>
  <c r="AH368" i="53253"/>
  <c r="D368" i="53253"/>
  <c r="D367" i="53253"/>
  <c r="D366" i="53253"/>
  <c r="D365" i="53253"/>
  <c r="AF364" i="53253"/>
  <c r="D364" i="53253" s="1"/>
  <c r="X363" i="53253"/>
  <c r="U363" i="53253"/>
  <c r="Q363" i="53253"/>
  <c r="Q336" i="53253" s="1"/>
  <c r="P363" i="53253"/>
  <c r="O363" i="53253"/>
  <c r="N363" i="53253"/>
  <c r="M363" i="53253"/>
  <c r="L363" i="53253"/>
  <c r="K363" i="53253"/>
  <c r="K336" i="53253" s="1"/>
  <c r="J363" i="53253"/>
  <c r="I363" i="53253"/>
  <c r="G363" i="53253"/>
  <c r="E363" i="53253"/>
  <c r="D363" i="53253" s="1"/>
  <c r="D362" i="53253"/>
  <c r="AE361" i="53253"/>
  <c r="AD361" i="53253"/>
  <c r="AB361" i="53253"/>
  <c r="O361" i="53253"/>
  <c r="D361" i="53253" s="1"/>
  <c r="N361" i="53253"/>
  <c r="D360" i="53253"/>
  <c r="D359" i="53253"/>
  <c r="N358" i="53253"/>
  <c r="D358" i="53253"/>
  <c r="D357" i="53253"/>
  <c r="AB356" i="53253"/>
  <c r="Z356" i="53253"/>
  <c r="Y356" i="53253"/>
  <c r="Y336" i="53253" s="1"/>
  <c r="X356" i="53253"/>
  <c r="D356" i="53253"/>
  <c r="O355" i="53253"/>
  <c r="D355" i="53253"/>
  <c r="W354" i="53253"/>
  <c r="O354" i="53253"/>
  <c r="D354" i="53253" s="1"/>
  <c r="D353" i="53253"/>
  <c r="D352" i="53253"/>
  <c r="AH351" i="53253"/>
  <c r="D351" i="53253" s="1"/>
  <c r="H350" i="53253"/>
  <c r="D350" i="53253" s="1"/>
  <c r="V349" i="53253"/>
  <c r="V336" i="53253" s="1"/>
  <c r="N349" i="53253"/>
  <c r="M349" i="53253"/>
  <c r="M336" i="53253" s="1"/>
  <c r="J349" i="53253"/>
  <c r="I349" i="53253"/>
  <c r="D349" i="53253" s="1"/>
  <c r="H349" i="53253"/>
  <c r="V348" i="53253"/>
  <c r="P348" i="53253"/>
  <c r="P336" i="53253" s="1"/>
  <c r="K348" i="53253"/>
  <c r="I348" i="53253"/>
  <c r="AF347" i="53253"/>
  <c r="D347" i="53253" s="1"/>
  <c r="AD346" i="53253"/>
  <c r="AD336" i="53253" s="1"/>
  <c r="AC346" i="53253"/>
  <c r="AB346" i="53253"/>
  <c r="W346" i="53253"/>
  <c r="H346" i="53253"/>
  <c r="D346" i="53253" s="1"/>
  <c r="AA345" i="53253"/>
  <c r="D344" i="53253"/>
  <c r="Y343" i="53253"/>
  <c r="D343" i="53253"/>
  <c r="P342" i="53253"/>
  <c r="O342" i="53253"/>
  <c r="D341" i="53253"/>
  <c r="D340" i="53253"/>
  <c r="D339" i="53253"/>
  <c r="D338" i="53253"/>
  <c r="D337" i="53253"/>
  <c r="AI336" i="53253"/>
  <c r="AH336" i="53253"/>
  <c r="AB336" i="53253"/>
  <c r="Z336" i="53253"/>
  <c r="X336" i="53253"/>
  <c r="T336" i="53253"/>
  <c r="S336" i="53253"/>
  <c r="R336" i="53253"/>
  <c r="N336" i="53253"/>
  <c r="L336" i="53253"/>
  <c r="J336" i="53253"/>
  <c r="F336" i="53253"/>
  <c r="D335" i="53253"/>
  <c r="X334" i="53253"/>
  <c r="D333" i="53253"/>
  <c r="D332" i="53253"/>
  <c r="D331" i="53253"/>
  <c r="D330" i="53253"/>
  <c r="D329" i="53253"/>
  <c r="D328" i="53253"/>
  <c r="D327" i="53253"/>
  <c r="D326" i="53253"/>
  <c r="D325" i="53253"/>
  <c r="D324" i="53253"/>
  <c r="D323" i="53253"/>
  <c r="D322" i="53253"/>
  <c r="AE321" i="53253"/>
  <c r="D321" i="53253" s="1"/>
  <c r="AE320" i="53253"/>
  <c r="D320" i="53253" s="1"/>
  <c r="D319" i="53253"/>
  <c r="AA318" i="53253"/>
  <c r="D318" i="53253"/>
  <c r="H317" i="53253"/>
  <c r="D317" i="53253"/>
  <c r="W316" i="53253"/>
  <c r="Q316" i="53253"/>
  <c r="Q303" i="53253" s="1"/>
  <c r="N316" i="53253"/>
  <c r="M316" i="53253"/>
  <c r="J316" i="53253"/>
  <c r="D316" i="53253"/>
  <c r="Q315" i="53253"/>
  <c r="D315" i="53253"/>
  <c r="D314" i="53253"/>
  <c r="M313" i="53253"/>
  <c r="D313" i="53253" s="1"/>
  <c r="D312" i="53253"/>
  <c r="D311" i="53253"/>
  <c r="D310" i="53253"/>
  <c r="D309" i="53253"/>
  <c r="E308" i="53253"/>
  <c r="D308" i="53253" s="1"/>
  <c r="D307" i="53253"/>
  <c r="D306" i="53253"/>
  <c r="AH305" i="53253"/>
  <c r="AH303" i="53253" s="1"/>
  <c r="AG305" i="53253"/>
  <c r="AF305" i="53253"/>
  <c r="AF303" i="53253" s="1"/>
  <c r="AD305" i="53253"/>
  <c r="AB305" i="53253"/>
  <c r="AB303" i="53253" s="1"/>
  <c r="AA305" i="53253"/>
  <c r="Z305" i="53253"/>
  <c r="Z303" i="53253" s="1"/>
  <c r="X305" i="53253"/>
  <c r="U305" i="53253"/>
  <c r="U303" i="53253" s="1"/>
  <c r="O305" i="53253"/>
  <c r="N305" i="53253"/>
  <c r="N303" i="53253" s="1"/>
  <c r="K305" i="53253"/>
  <c r="J305" i="53253"/>
  <c r="J303" i="53253" s="1"/>
  <c r="I305" i="53253"/>
  <c r="D304" i="53253"/>
  <c r="AI303" i="53253"/>
  <c r="AG303" i="53253"/>
  <c r="AD303" i="53253"/>
  <c r="AC303" i="53253"/>
  <c r="AA303" i="53253"/>
  <c r="Y303" i="53253"/>
  <c r="W303" i="53253"/>
  <c r="V303" i="53253"/>
  <c r="T303" i="53253"/>
  <c r="S303" i="53253"/>
  <c r="R303" i="53253"/>
  <c r="P303" i="53253"/>
  <c r="O303" i="53253"/>
  <c r="M303" i="53253"/>
  <c r="L303" i="53253"/>
  <c r="K303" i="53253"/>
  <c r="I303" i="53253"/>
  <c r="H303" i="53253"/>
  <c r="G303" i="53253"/>
  <c r="F303" i="53253"/>
  <c r="D302" i="53253"/>
  <c r="AA301" i="53253"/>
  <c r="K301" i="53253"/>
  <c r="J301" i="53253"/>
  <c r="H301" i="53253"/>
  <c r="D301" i="53253" s="1"/>
  <c r="D300" i="53253"/>
  <c r="D299" i="53253"/>
  <c r="D298" i="53253"/>
  <c r="AG297" i="53253"/>
  <c r="D297" i="53253"/>
  <c r="D296" i="53253"/>
  <c r="D295" i="53253"/>
  <c r="D294" i="53253"/>
  <c r="D293" i="53253"/>
  <c r="AF292" i="53253"/>
  <c r="D292" i="53253"/>
  <c r="D291" i="53253"/>
  <c r="D290" i="53253"/>
  <c r="D289" i="53253"/>
  <c r="N288" i="53253"/>
  <c r="D288" i="53253" s="1"/>
  <c r="D287" i="53253"/>
  <c r="N286" i="53253"/>
  <c r="M286" i="53253"/>
  <c r="D286" i="53253" s="1"/>
  <c r="AA285" i="53253"/>
  <c r="D285" i="53253" s="1"/>
  <c r="D284" i="53253"/>
  <c r="D283" i="53253"/>
  <c r="M282" i="53253"/>
  <c r="D282" i="53253" s="1"/>
  <c r="D281" i="53253"/>
  <c r="D280" i="53253"/>
  <c r="D279" i="53253"/>
  <c r="V278" i="53253"/>
  <c r="D278" i="53253"/>
  <c r="D277" i="53253"/>
  <c r="D276" i="53253"/>
  <c r="D275" i="53253"/>
  <c r="D274" i="53253"/>
  <c r="D273" i="53253"/>
  <c r="D272" i="53253"/>
  <c r="V271" i="53253"/>
  <c r="U271" i="53253"/>
  <c r="U144" i="53253" s="1"/>
  <c r="D271" i="53253"/>
  <c r="M270" i="53253"/>
  <c r="D270" i="53253" s="1"/>
  <c r="W269" i="53253"/>
  <c r="D269" i="53253"/>
  <c r="D268" i="53253"/>
  <c r="D267" i="53253"/>
  <c r="D266" i="53253"/>
  <c r="D265" i="53253"/>
  <c r="D264" i="53253"/>
  <c r="D263" i="53253"/>
  <c r="V262" i="53253"/>
  <c r="D262" i="53253"/>
  <c r="D261" i="53253"/>
  <c r="D260" i="53253"/>
  <c r="D259" i="53253"/>
  <c r="D258" i="53253"/>
  <c r="D257" i="53253"/>
  <c r="D256" i="53253"/>
  <c r="D255" i="53253"/>
  <c r="D254" i="53253"/>
  <c r="AA253" i="53253"/>
  <c r="D253" i="53253" s="1"/>
  <c r="AA252" i="53253"/>
  <c r="D252" i="53253" s="1"/>
  <c r="AA251" i="53253"/>
  <c r="D251" i="53253" s="1"/>
  <c r="D250" i="53253"/>
  <c r="D249" i="53253"/>
  <c r="D248" i="53253"/>
  <c r="D247" i="53253"/>
  <c r="D246" i="53253"/>
  <c r="X245" i="53253"/>
  <c r="D245" i="53253" s="1"/>
  <c r="D244" i="53253"/>
  <c r="D243" i="53253"/>
  <c r="D242" i="53253"/>
  <c r="D241" i="53253"/>
  <c r="D240" i="53253"/>
  <c r="D239" i="53253"/>
  <c r="D238" i="53253"/>
  <c r="D237" i="53253"/>
  <c r="D236" i="53253"/>
  <c r="D235" i="53253"/>
  <c r="D234" i="53253"/>
  <c r="M233" i="53253"/>
  <c r="G233" i="53253"/>
  <c r="D233" i="53253"/>
  <c r="D232" i="53253"/>
  <c r="D231" i="53253"/>
  <c r="D230" i="53253"/>
  <c r="D229" i="53253"/>
  <c r="D228" i="53253"/>
  <c r="D227" i="53253"/>
  <c r="AF226" i="53253"/>
  <c r="D226" i="53253"/>
  <c r="D225" i="53253"/>
  <c r="D224" i="53253"/>
  <c r="D223" i="53253"/>
  <c r="D222" i="53253"/>
  <c r="D221" i="53253"/>
  <c r="D220" i="53253"/>
  <c r="D219" i="53253"/>
  <c r="D218" i="53253"/>
  <c r="D217" i="53253"/>
  <c r="D216" i="53253"/>
  <c r="D215" i="53253"/>
  <c r="D214" i="53253"/>
  <c r="D213" i="53253"/>
  <c r="AH212" i="53253"/>
  <c r="D212" i="53253" s="1"/>
  <c r="AF211" i="53253"/>
  <c r="AF144" i="53253" s="1"/>
  <c r="D211" i="53253"/>
  <c r="D210" i="53253"/>
  <c r="D209" i="53253"/>
  <c r="AH208" i="53253"/>
  <c r="AG208" i="53253"/>
  <c r="Z208" i="53253"/>
  <c r="D207" i="53253"/>
  <c r="D206" i="53253"/>
  <c r="D205" i="53253"/>
  <c r="D204" i="53253"/>
  <c r="D203" i="53253"/>
  <c r="D202" i="53253"/>
  <c r="D201" i="53253"/>
  <c r="K200" i="53253"/>
  <c r="D200" i="53253"/>
  <c r="K199" i="53253"/>
  <c r="D199" i="53253"/>
  <c r="AH198" i="53253"/>
  <c r="AG198" i="53253"/>
  <c r="K198" i="53253"/>
  <c r="D198" i="53253"/>
  <c r="D197" i="53253"/>
  <c r="D196" i="53253"/>
  <c r="I195" i="53253"/>
  <c r="I144" i="53253" s="1"/>
  <c r="D195" i="53253"/>
  <c r="D194" i="53253"/>
  <c r="AF193" i="53253"/>
  <c r="D193" i="53253"/>
  <c r="D192" i="53253"/>
  <c r="N191" i="53253"/>
  <c r="M191" i="53253"/>
  <c r="D191" i="53253"/>
  <c r="D190" i="53253"/>
  <c r="AF189" i="53253"/>
  <c r="AE189" i="53253"/>
  <c r="AD189" i="53253"/>
  <c r="X189" i="53253"/>
  <c r="D189" i="53253" s="1"/>
  <c r="W189" i="53253"/>
  <c r="D188" i="53253"/>
  <c r="D187" i="53253"/>
  <c r="D186" i="53253"/>
  <c r="D185" i="53253"/>
  <c r="D184" i="53253"/>
  <c r="AC183" i="53253"/>
  <c r="D182" i="53253"/>
  <c r="D181" i="53253"/>
  <c r="D180" i="53253"/>
  <c r="D179" i="53253"/>
  <c r="D178" i="53253"/>
  <c r="D177" i="53253"/>
  <c r="D176" i="53253"/>
  <c r="U175" i="53253"/>
  <c r="D175" i="53253"/>
  <c r="D174" i="53253"/>
  <c r="X173" i="53253"/>
  <c r="D173" i="53253" s="1"/>
  <c r="X172" i="53253"/>
  <c r="D172" i="53253" s="1"/>
  <c r="AF171" i="53253"/>
  <c r="D171" i="53253" s="1"/>
  <c r="D170" i="53253"/>
  <c r="D169" i="53253"/>
  <c r="D168" i="53253"/>
  <c r="D167" i="53253"/>
  <c r="D166" i="53253"/>
  <c r="D165" i="53253"/>
  <c r="D164" i="53253"/>
  <c r="O163" i="53253"/>
  <c r="D163" i="53253"/>
  <c r="Q162" i="53253"/>
  <c r="Q144" i="53253" s="1"/>
  <c r="G161" i="53253"/>
  <c r="D161" i="53253"/>
  <c r="D160" i="53253"/>
  <c r="D159" i="53253"/>
  <c r="D158" i="53253"/>
  <c r="D157" i="53253"/>
  <c r="D156" i="53253"/>
  <c r="D155" i="53253"/>
  <c r="D154" i="53253"/>
  <c r="D153" i="53253"/>
  <c r="D152" i="53253"/>
  <c r="D151" i="53253"/>
  <c r="D150" i="53253"/>
  <c r="D149" i="53253"/>
  <c r="D148" i="53253"/>
  <c r="D147" i="53253"/>
  <c r="D146" i="53253"/>
  <c r="D145" i="53253"/>
  <c r="AI144" i="53253"/>
  <c r="AH144" i="53253"/>
  <c r="AE144" i="53253"/>
  <c r="AD144" i="53253"/>
  <c r="AB144" i="53253"/>
  <c r="Y144" i="53253"/>
  <c r="W144" i="53253"/>
  <c r="V144" i="53253"/>
  <c r="T144" i="53253"/>
  <c r="S144" i="53253"/>
  <c r="R144" i="53253"/>
  <c r="P144" i="53253"/>
  <c r="O144" i="53253"/>
  <c r="N144" i="53253"/>
  <c r="L144" i="53253"/>
  <c r="K144" i="53253"/>
  <c r="J144" i="53253"/>
  <c r="H144" i="53253"/>
  <c r="G144" i="53253"/>
  <c r="F144" i="53253"/>
  <c r="E144" i="53253"/>
  <c r="D143" i="53253"/>
  <c r="D142" i="53253"/>
  <c r="AA141" i="53253"/>
  <c r="D141" i="53253"/>
  <c r="D140" i="53253"/>
  <c r="D139" i="53253"/>
  <c r="AB138" i="53253"/>
  <c r="D138" i="53253"/>
  <c r="W137" i="53253"/>
  <c r="D137" i="53253"/>
  <c r="AF136" i="53253"/>
  <c r="X136" i="53253"/>
  <c r="Q136" i="53253"/>
  <c r="K136" i="53253"/>
  <c r="K101" i="53253" s="1"/>
  <c r="J136" i="53253"/>
  <c r="D136" i="53253"/>
  <c r="D135" i="53253"/>
  <c r="AF134" i="53253"/>
  <c r="AE134" i="53253"/>
  <c r="AD134" i="53253"/>
  <c r="N134" i="53253"/>
  <c r="M134" i="53253"/>
  <c r="L134" i="53253"/>
  <c r="J134" i="53253"/>
  <c r="J101" i="53253" s="1"/>
  <c r="AE133" i="53253"/>
  <c r="D133" i="53253" s="1"/>
  <c r="AE132" i="53253"/>
  <c r="AC132" i="53253"/>
  <c r="AB132" i="53253"/>
  <c r="AA132" i="53253"/>
  <c r="Y132" i="53253"/>
  <c r="Y101" i="53253" s="1"/>
  <c r="X132" i="53253"/>
  <c r="X101" i="53253" s="1"/>
  <c r="K132" i="53253"/>
  <c r="D131" i="53253"/>
  <c r="D130" i="53253"/>
  <c r="D129" i="53253"/>
  <c r="D128" i="53253"/>
  <c r="D127" i="53253"/>
  <c r="D126" i="53253"/>
  <c r="D125" i="53253"/>
  <c r="W124" i="53253"/>
  <c r="D124" i="53253"/>
  <c r="AC123" i="53253"/>
  <c r="AC101" i="53253" s="1"/>
  <c r="AA123" i="53253"/>
  <c r="D123" i="53253" s="1"/>
  <c r="Z123" i="53253"/>
  <c r="D122" i="53253"/>
  <c r="D121" i="53253"/>
  <c r="Z120" i="53253"/>
  <c r="D120" i="53253"/>
  <c r="AI119" i="53253"/>
  <c r="AI101" i="53253" s="1"/>
  <c r="AH119" i="53253"/>
  <c r="AH101" i="53253" s="1"/>
  <c r="AG119" i="53253"/>
  <c r="AF119" i="53253"/>
  <c r="AE119" i="53253"/>
  <c r="AD119" i="53253"/>
  <c r="AC119" i="53253"/>
  <c r="AB119" i="53253"/>
  <c r="AB101" i="53253" s="1"/>
  <c r="AA119" i="53253"/>
  <c r="AA101" i="53253" s="1"/>
  <c r="Y119" i="53253"/>
  <c r="X119" i="53253"/>
  <c r="W119" i="53253"/>
  <c r="U119" i="53253"/>
  <c r="U101" i="53253" s="1"/>
  <c r="Q119" i="53253"/>
  <c r="P119" i="53253"/>
  <c r="O119" i="53253"/>
  <c r="N119" i="53253"/>
  <c r="N101" i="53253" s="1"/>
  <c r="M119" i="53253"/>
  <c r="L119" i="53253"/>
  <c r="H119" i="53253"/>
  <c r="G119" i="53253"/>
  <c r="G101" i="53253" s="1"/>
  <c r="E119" i="53253"/>
  <c r="D118" i="53253"/>
  <c r="D117" i="53253"/>
  <c r="AD116" i="53253"/>
  <c r="D115" i="53253"/>
  <c r="D114" i="53253"/>
  <c r="D113" i="53253"/>
  <c r="D112" i="53253"/>
  <c r="D111" i="53253"/>
  <c r="D110" i="53253"/>
  <c r="D109" i="53253"/>
  <c r="Z108" i="53253"/>
  <c r="Y108" i="53253"/>
  <c r="D108" i="53253" s="1"/>
  <c r="U107" i="53253"/>
  <c r="D107" i="53253" s="1"/>
  <c r="D106" i="53253"/>
  <c r="D105" i="53253"/>
  <c r="AF104" i="53253"/>
  <c r="D104" i="53253" s="1"/>
  <c r="D103" i="53253"/>
  <c r="D102" i="53253"/>
  <c r="AG101" i="53253"/>
  <c r="AF101" i="53253"/>
  <c r="AE101" i="53253"/>
  <c r="Z101" i="53253"/>
  <c r="W101" i="53253"/>
  <c r="V101" i="53253"/>
  <c r="T101" i="53253"/>
  <c r="S101" i="53253"/>
  <c r="R101" i="53253"/>
  <c r="Q101" i="53253"/>
  <c r="P101" i="53253"/>
  <c r="O101" i="53253"/>
  <c r="M101" i="53253"/>
  <c r="L101" i="53253"/>
  <c r="I101" i="53253"/>
  <c r="H101" i="53253"/>
  <c r="F101" i="53253"/>
  <c r="AD100" i="53253"/>
  <c r="D100" i="53253" s="1"/>
  <c r="D99" i="53253"/>
  <c r="D98" i="53253"/>
  <c r="D97" i="53253"/>
  <c r="D96" i="53253"/>
  <c r="AF95" i="53253"/>
  <c r="AB95" i="53253"/>
  <c r="AA95" i="53253"/>
  <c r="D95" i="53253" s="1"/>
  <c r="Z95" i="53253"/>
  <c r="AB94" i="53253"/>
  <c r="D94" i="53253"/>
  <c r="W93" i="53253"/>
  <c r="J93" i="53253"/>
  <c r="D93" i="53253"/>
  <c r="Y92" i="53253"/>
  <c r="D92" i="53253" s="1"/>
  <c r="X92" i="53253"/>
  <c r="D91" i="53253"/>
  <c r="D90" i="53253"/>
  <c r="AG89" i="53253"/>
  <c r="AE89" i="53253"/>
  <c r="AD89" i="53253"/>
  <c r="V89" i="53253"/>
  <c r="D89" i="53253" s="1"/>
  <c r="Y88" i="53253"/>
  <c r="D88" i="53253" s="1"/>
  <c r="D87" i="53253"/>
  <c r="D86" i="53253"/>
  <c r="D85" i="53253"/>
  <c r="AH84" i="53253"/>
  <c r="AG84" i="53253"/>
  <c r="AB84" i="53253"/>
  <c r="AA84" i="53253"/>
  <c r="X84" i="53253"/>
  <c r="W84" i="53253"/>
  <c r="V84" i="53253"/>
  <c r="N84" i="53253"/>
  <c r="D84" i="53253" s="1"/>
  <c r="D83" i="53253"/>
  <c r="AC82" i="53253"/>
  <c r="AB82" i="53253"/>
  <c r="D82" i="53253" s="1"/>
  <c r="AA82" i="53253"/>
  <c r="D81" i="53253"/>
  <c r="D80" i="53253"/>
  <c r="AH79" i="53253"/>
  <c r="W79" i="53253"/>
  <c r="P79" i="53253"/>
  <c r="D79" i="53253"/>
  <c r="O78" i="53253"/>
  <c r="D78" i="53253"/>
  <c r="AD77" i="53253"/>
  <c r="V77" i="53253"/>
  <c r="D77" i="53253" s="1"/>
  <c r="D76" i="53253"/>
  <c r="AE75" i="53253"/>
  <c r="L75" i="53253"/>
  <c r="D75" i="53253" s="1"/>
  <c r="K75" i="53253"/>
  <c r="AA74" i="53253"/>
  <c r="D74" i="53253"/>
  <c r="D73" i="53253"/>
  <c r="D72" i="53253"/>
  <c r="AC71" i="53253"/>
  <c r="D71" i="53253"/>
  <c r="D70" i="53253"/>
  <c r="D69" i="53253"/>
  <c r="Z68" i="53253"/>
  <c r="J68" i="53253"/>
  <c r="D68" i="53253" s="1"/>
  <c r="AG67" i="53253"/>
  <c r="AF67" i="53253"/>
  <c r="AC67" i="53253"/>
  <c r="AA67" i="53253"/>
  <c r="Z67" i="53253"/>
  <c r="V67" i="53253"/>
  <c r="U67" i="53253"/>
  <c r="Q67" i="53253"/>
  <c r="L67" i="53253"/>
  <c r="K67" i="53253"/>
  <c r="J67" i="53253"/>
  <c r="J54" i="53253" s="1"/>
  <c r="D66" i="53253"/>
  <c r="D65" i="53253"/>
  <c r="D64" i="53253"/>
  <c r="AH63" i="53253"/>
  <c r="AH54" i="53253" s="1"/>
  <c r="AG63" i="53253"/>
  <c r="AF63" i="53253"/>
  <c r="AE63" i="53253"/>
  <c r="AE54" i="53253" s="1"/>
  <c r="AD63" i="53253"/>
  <c r="AA63" i="53253"/>
  <c r="Z63" i="53253"/>
  <c r="Y63" i="53253"/>
  <c r="X63" i="53253"/>
  <c r="W63" i="53253"/>
  <c r="V63" i="53253"/>
  <c r="U63" i="53253"/>
  <c r="Q63" i="53253"/>
  <c r="P63" i="53253"/>
  <c r="P54" i="53253" s="1"/>
  <c r="O63" i="53253"/>
  <c r="N63" i="53253"/>
  <c r="N54" i="53253" s="1"/>
  <c r="M63" i="53253"/>
  <c r="L63" i="53253"/>
  <c r="K63" i="53253"/>
  <c r="D63" i="53253"/>
  <c r="Z62" i="53253"/>
  <c r="D62" i="53253"/>
  <c r="D61" i="53253"/>
  <c r="D60" i="53253"/>
  <c r="V59" i="53253"/>
  <c r="D59" i="53253"/>
  <c r="AF58" i="53253"/>
  <c r="AD58" i="53253"/>
  <c r="AD54" i="53253" s="1"/>
  <c r="AC58" i="53253"/>
  <c r="AB58" i="53253"/>
  <c r="AA58" i="53253"/>
  <c r="Y58" i="53253"/>
  <c r="Y54" i="53253" s="1"/>
  <c r="W58" i="53253"/>
  <c r="V58" i="53253"/>
  <c r="P58" i="53253"/>
  <c r="O58" i="53253"/>
  <c r="D58" i="53253" s="1"/>
  <c r="M58" i="53253"/>
  <c r="D57" i="53253"/>
  <c r="Z56" i="53253"/>
  <c r="Z54" i="53253" s="1"/>
  <c r="AF55" i="53253"/>
  <c r="AE55" i="53253"/>
  <c r="AC55" i="53253"/>
  <c r="AC54" i="53253" s="1"/>
  <c r="X55" i="53253"/>
  <c r="W55" i="53253"/>
  <c r="V55" i="53253"/>
  <c r="U55" i="53253"/>
  <c r="D55" i="53253" s="1"/>
  <c r="AI54" i="53253"/>
  <c r="AG54" i="53253"/>
  <c r="AF54" i="53253"/>
  <c r="AB54" i="53253"/>
  <c r="AA54" i="53253"/>
  <c r="X54" i="53253"/>
  <c r="W54" i="53253"/>
  <c r="U54" i="53253"/>
  <c r="T54" i="53253"/>
  <c r="S54" i="53253"/>
  <c r="R54" i="53253"/>
  <c r="Q54" i="53253"/>
  <c r="M54" i="53253"/>
  <c r="L54" i="53253"/>
  <c r="K54" i="53253"/>
  <c r="I54" i="53253"/>
  <c r="H54" i="53253"/>
  <c r="G54" i="53253"/>
  <c r="F54" i="53253"/>
  <c r="E54" i="53253"/>
  <c r="D53" i="53253"/>
  <c r="AG52" i="53253"/>
  <c r="D52" i="53253"/>
  <c r="O51" i="53253"/>
  <c r="D51" i="53253" s="1"/>
  <c r="D50" i="53253"/>
  <c r="D49" i="53253"/>
  <c r="AA48" i="53253"/>
  <c r="AA22" i="53253" s="1"/>
  <c r="D47" i="53253"/>
  <c r="D46" i="53253"/>
  <c r="D45" i="53253"/>
  <c r="AH44" i="53253"/>
  <c r="D44" i="53253" s="1"/>
  <c r="D43" i="53253"/>
  <c r="D42" i="53253"/>
  <c r="D41" i="53253"/>
  <c r="D40" i="53253"/>
  <c r="D39" i="53253"/>
  <c r="O38" i="53253"/>
  <c r="J38" i="53253"/>
  <c r="D38" i="53253" s="1"/>
  <c r="D37" i="53253"/>
  <c r="D36" i="53253"/>
  <c r="D35" i="53253"/>
  <c r="AH34" i="53253"/>
  <c r="AE34" i="53253"/>
  <c r="AE22" i="53253" s="1"/>
  <c r="AD34" i="53253"/>
  <c r="AC34" i="53253"/>
  <c r="AA34" i="53253"/>
  <c r="Z34" i="53253"/>
  <c r="Z22" i="53253" s="1"/>
  <c r="Y34" i="53253"/>
  <c r="X34" i="53253"/>
  <c r="O34" i="53253"/>
  <c r="N34" i="53253"/>
  <c r="D34" i="53253" s="1"/>
  <c r="M34" i="53253"/>
  <c r="AH33" i="53253"/>
  <c r="D33" i="53253"/>
  <c r="AC32" i="53253"/>
  <c r="D32" i="53253"/>
  <c r="AF31" i="53253"/>
  <c r="D31" i="53253"/>
  <c r="D30" i="53253"/>
  <c r="D29" i="53253"/>
  <c r="D28" i="53253"/>
  <c r="U27" i="53253"/>
  <c r="D27" i="53253" s="1"/>
  <c r="D26" i="53253"/>
  <c r="D25" i="53253"/>
  <c r="P24" i="53253"/>
  <c r="D24" i="53253" s="1"/>
  <c r="D23" i="53253"/>
  <c r="AI22" i="53253"/>
  <c r="AH22" i="53253"/>
  <c r="AG22" i="53253"/>
  <c r="AF22" i="53253"/>
  <c r="AD22" i="53253"/>
  <c r="AC22" i="53253"/>
  <c r="AB22" i="53253"/>
  <c r="Y22" i="53253"/>
  <c r="X22" i="53253"/>
  <c r="W22" i="53253"/>
  <c r="V22" i="53253"/>
  <c r="U22" i="53253"/>
  <c r="T22" i="53253"/>
  <c r="S22" i="53253"/>
  <c r="R22" i="53253"/>
  <c r="Q22" i="53253"/>
  <c r="P22" i="53253"/>
  <c r="M22" i="53253"/>
  <c r="L22" i="53253"/>
  <c r="K22" i="53253"/>
  <c r="I22" i="53253"/>
  <c r="H22" i="53253"/>
  <c r="G22" i="53253"/>
  <c r="F22" i="53253"/>
  <c r="E22" i="53253"/>
  <c r="P21" i="53253"/>
  <c r="D21" i="53253"/>
  <c r="AH20" i="53253"/>
  <c r="AG20" i="53253"/>
  <c r="AG3" i="53253" s="1"/>
  <c r="AF20" i="53253"/>
  <c r="AE20" i="53253"/>
  <c r="AD20" i="53253"/>
  <c r="AC20" i="53253"/>
  <c r="AB20" i="53253"/>
  <c r="Z20" i="53253"/>
  <c r="Y20" i="53253"/>
  <c r="Y3" i="53253" s="1"/>
  <c r="X20" i="53253"/>
  <c r="D20" i="53253" s="1"/>
  <c r="O20" i="53253"/>
  <c r="N20" i="53253"/>
  <c r="AH19" i="53253"/>
  <c r="D19" i="53253" s="1"/>
  <c r="AH18" i="53253"/>
  <c r="V18" i="53253"/>
  <c r="G18" i="53253"/>
  <c r="AH17" i="53253"/>
  <c r="AH3" i="53253" s="1"/>
  <c r="D16" i="53253"/>
  <c r="D15" i="53253"/>
  <c r="V14" i="53253"/>
  <c r="D14" i="53253" s="1"/>
  <c r="D13" i="53253"/>
  <c r="D12" i="53253"/>
  <c r="D11" i="53253"/>
  <c r="D10" i="53253"/>
  <c r="D9" i="53253"/>
  <c r="AG8" i="53253"/>
  <c r="AF8" i="53253"/>
  <c r="AF3" i="53253" s="1"/>
  <c r="AD8" i="53253"/>
  <c r="D8" i="53253" s="1"/>
  <c r="D7" i="53253"/>
  <c r="AC6" i="53253"/>
  <c r="D6" i="53253" s="1"/>
  <c r="K5" i="53253"/>
  <c r="D5" i="53253" s="1"/>
  <c r="AC4" i="53253"/>
  <c r="AC3" i="53253" s="1"/>
  <c r="AB4" i="53253"/>
  <c r="AB3" i="53253" s="1"/>
  <c r="K4" i="53253"/>
  <c r="J4" i="53253"/>
  <c r="I4" i="53253"/>
  <c r="I3" i="53253" s="1"/>
  <c r="D4" i="53253"/>
  <c r="AI3" i="53253"/>
  <c r="AE3" i="53253"/>
  <c r="AD3" i="53253"/>
  <c r="AA3" i="53253"/>
  <c r="Z3" i="53253"/>
  <c r="W3" i="53253"/>
  <c r="V3" i="53253"/>
  <c r="U3" i="53253"/>
  <c r="T3" i="53253"/>
  <c r="S3" i="53253"/>
  <c r="R3" i="53253"/>
  <c r="Q3" i="53253"/>
  <c r="P3" i="53253"/>
  <c r="O3" i="53253"/>
  <c r="N3" i="53253"/>
  <c r="M3" i="53253"/>
  <c r="L3" i="53253"/>
  <c r="K3" i="53253"/>
  <c r="J3" i="53253"/>
  <c r="H3" i="53253"/>
  <c r="G3" i="53253"/>
  <c r="F3" i="53253"/>
  <c r="E3" i="53253"/>
  <c r="AH22" i="53254"/>
  <c r="AG22" i="53254"/>
  <c r="AG23" i="53254" s="1"/>
  <c r="AF22" i="53254"/>
  <c r="AE22" i="53254"/>
  <c r="AD22" i="53254"/>
  <c r="AC22" i="53254"/>
  <c r="AC23" i="53254" s="1"/>
  <c r="AB22" i="53254"/>
  <c r="AA22" i="53254"/>
  <c r="Z22" i="53254"/>
  <c r="Y22" i="53254"/>
  <c r="Y23" i="53254" s="1"/>
  <c r="X22" i="53254"/>
  <c r="W22" i="53254"/>
  <c r="V22" i="53254"/>
  <c r="U22" i="53254"/>
  <c r="U23" i="53254" s="1"/>
  <c r="T22" i="53254"/>
  <c r="S22" i="53254"/>
  <c r="R22" i="53254"/>
  <c r="Q22" i="53254"/>
  <c r="Q23" i="53254" s="1"/>
  <c r="P22" i="53254"/>
  <c r="O22" i="53254"/>
  <c r="N22" i="53254"/>
  <c r="M22" i="53254"/>
  <c r="M23" i="53254" s="1"/>
  <c r="L22" i="53254"/>
  <c r="K22" i="53254"/>
  <c r="J22" i="53254"/>
  <c r="I22" i="53254"/>
  <c r="I23" i="53254" s="1"/>
  <c r="H22" i="53254"/>
  <c r="G22" i="53254"/>
  <c r="F22" i="53254"/>
  <c r="E22" i="53254"/>
  <c r="E23" i="53254" s="1"/>
  <c r="D22" i="53254"/>
  <c r="C21" i="53254"/>
  <c r="C20" i="53254"/>
  <c r="C19" i="53254"/>
  <c r="C18" i="53254"/>
  <c r="C17" i="53254"/>
  <c r="C16" i="53254"/>
  <c r="C15" i="53254"/>
  <c r="C14" i="53254"/>
  <c r="C13" i="53254"/>
  <c r="C22" i="53254" s="1"/>
  <c r="AH11" i="53254"/>
  <c r="AH23" i="53254" s="1"/>
  <c r="AG11" i="53254"/>
  <c r="AF11" i="53254"/>
  <c r="AF23" i="53254" s="1"/>
  <c r="AE11" i="53254"/>
  <c r="AE23" i="53254" s="1"/>
  <c r="AD11" i="53254"/>
  <c r="AD23" i="53254" s="1"/>
  <c r="AC11" i="53254"/>
  <c r="AB11" i="53254"/>
  <c r="AB23" i="53254" s="1"/>
  <c r="AA11" i="53254"/>
  <c r="AA23" i="53254" s="1"/>
  <c r="Z11" i="53254"/>
  <c r="Z23" i="53254" s="1"/>
  <c r="Y11" i="53254"/>
  <c r="X11" i="53254"/>
  <c r="X23" i="53254" s="1"/>
  <c r="W11" i="53254"/>
  <c r="W23" i="53254" s="1"/>
  <c r="V11" i="53254"/>
  <c r="V23" i="53254" s="1"/>
  <c r="U11" i="53254"/>
  <c r="T11" i="53254"/>
  <c r="T23" i="53254" s="1"/>
  <c r="S11" i="53254"/>
  <c r="S23" i="53254" s="1"/>
  <c r="R11" i="53254"/>
  <c r="R23" i="53254" s="1"/>
  <c r="Q11" i="53254"/>
  <c r="P11" i="53254"/>
  <c r="P23" i="53254" s="1"/>
  <c r="O11" i="53254"/>
  <c r="O23" i="53254" s="1"/>
  <c r="N11" i="53254"/>
  <c r="N23" i="53254" s="1"/>
  <c r="M11" i="53254"/>
  <c r="L11" i="53254"/>
  <c r="L23" i="53254" s="1"/>
  <c r="K11" i="53254"/>
  <c r="K23" i="53254" s="1"/>
  <c r="J11" i="53254"/>
  <c r="J23" i="53254" s="1"/>
  <c r="I11" i="53254"/>
  <c r="H11" i="53254"/>
  <c r="H23" i="53254" s="1"/>
  <c r="G11" i="53254"/>
  <c r="G23" i="53254" s="1"/>
  <c r="F11" i="53254"/>
  <c r="F23" i="53254" s="1"/>
  <c r="E11" i="53254"/>
  <c r="D11" i="53254"/>
  <c r="D23" i="53254" s="1"/>
  <c r="C10" i="53254"/>
  <c r="C9" i="53254"/>
  <c r="C8" i="53254"/>
  <c r="C7" i="53254"/>
  <c r="C6" i="53254"/>
  <c r="C5" i="53254"/>
  <c r="C4" i="53254"/>
  <c r="C3" i="53254"/>
  <c r="C11" i="53254" s="1"/>
  <c r="AH22" i="53255"/>
  <c r="AG22" i="53255"/>
  <c r="AF22" i="53255"/>
  <c r="AE22" i="53255"/>
  <c r="AD22" i="53255"/>
  <c r="AC22" i="53255"/>
  <c r="AB22" i="53255"/>
  <c r="AA22" i="53255"/>
  <c r="Z22" i="53255"/>
  <c r="Y22" i="53255"/>
  <c r="X22" i="53255"/>
  <c r="W22" i="53255"/>
  <c r="V22" i="53255"/>
  <c r="U22" i="53255"/>
  <c r="T22" i="53255"/>
  <c r="S22" i="53255"/>
  <c r="R22" i="53255"/>
  <c r="Q22" i="53255"/>
  <c r="P22" i="53255"/>
  <c r="O22" i="53255"/>
  <c r="N22" i="53255"/>
  <c r="M22" i="53255"/>
  <c r="L22" i="53255"/>
  <c r="K22" i="53255"/>
  <c r="J22" i="53255"/>
  <c r="I22" i="53255"/>
  <c r="H22" i="53255"/>
  <c r="G22" i="53255"/>
  <c r="F22" i="53255"/>
  <c r="E22" i="53255"/>
  <c r="D22" i="53255"/>
  <c r="C21" i="53255"/>
  <c r="C20" i="53255"/>
  <c r="C19" i="53255"/>
  <c r="C18" i="53255"/>
  <c r="C17" i="53255"/>
  <c r="C15" i="53255"/>
  <c r="C14" i="53255"/>
  <c r="C13" i="53255"/>
  <c r="C22" i="53255" s="1"/>
  <c r="AH11" i="53255"/>
  <c r="AH23" i="53255" s="1"/>
  <c r="AG11" i="53255"/>
  <c r="AG23" i="53255" s="1"/>
  <c r="AF11" i="53255"/>
  <c r="AF23" i="53255" s="1"/>
  <c r="AE11" i="53255"/>
  <c r="AE23" i="53255" s="1"/>
  <c r="AD11" i="53255"/>
  <c r="AD23" i="53255" s="1"/>
  <c r="AC11" i="53255"/>
  <c r="AC23" i="53255" s="1"/>
  <c r="AB11" i="53255"/>
  <c r="AB23" i="53255" s="1"/>
  <c r="AA11" i="53255"/>
  <c r="AA23" i="53255" s="1"/>
  <c r="Z11" i="53255"/>
  <c r="Z23" i="53255" s="1"/>
  <c r="Y11" i="53255"/>
  <c r="Y23" i="53255" s="1"/>
  <c r="X11" i="53255"/>
  <c r="X23" i="53255" s="1"/>
  <c r="W11" i="53255"/>
  <c r="W23" i="53255" s="1"/>
  <c r="V11" i="53255"/>
  <c r="V23" i="53255" s="1"/>
  <c r="U11" i="53255"/>
  <c r="U23" i="53255" s="1"/>
  <c r="T11" i="53255"/>
  <c r="T23" i="53255" s="1"/>
  <c r="S11" i="53255"/>
  <c r="S23" i="53255" s="1"/>
  <c r="R11" i="53255"/>
  <c r="R23" i="53255" s="1"/>
  <c r="Q11" i="53255"/>
  <c r="Q23" i="53255" s="1"/>
  <c r="P11" i="53255"/>
  <c r="P23" i="53255" s="1"/>
  <c r="O11" i="53255"/>
  <c r="O23" i="53255" s="1"/>
  <c r="N11" i="53255"/>
  <c r="N23" i="53255" s="1"/>
  <c r="M11" i="53255"/>
  <c r="M23" i="53255" s="1"/>
  <c r="L11" i="53255"/>
  <c r="L23" i="53255" s="1"/>
  <c r="K11" i="53255"/>
  <c r="K23" i="53255" s="1"/>
  <c r="J11" i="53255"/>
  <c r="J23" i="53255" s="1"/>
  <c r="I11" i="53255"/>
  <c r="I23" i="53255" s="1"/>
  <c r="H11" i="53255"/>
  <c r="H23" i="53255" s="1"/>
  <c r="G11" i="53255"/>
  <c r="G23" i="53255" s="1"/>
  <c r="F11" i="53255"/>
  <c r="F23" i="53255" s="1"/>
  <c r="E11" i="53255"/>
  <c r="E23" i="53255" s="1"/>
  <c r="D11" i="53255"/>
  <c r="D23" i="53255" s="1"/>
  <c r="C10" i="53255"/>
  <c r="C9" i="53255"/>
  <c r="C8" i="53255"/>
  <c r="C7" i="53255"/>
  <c r="C6" i="53255"/>
  <c r="C5" i="53255"/>
  <c r="C4" i="53255"/>
  <c r="C3" i="53255"/>
  <c r="C11" i="53255" s="1"/>
  <c r="C23" i="53255" s="1"/>
  <c r="D577" i="53246"/>
  <c r="D576" i="53246"/>
  <c r="D575" i="53246"/>
  <c r="D574" i="53246"/>
  <c r="D573" i="53246"/>
  <c r="D572" i="53246"/>
  <c r="D571" i="53246"/>
  <c r="D570" i="53246"/>
  <c r="D569" i="53246"/>
  <c r="D568" i="53246"/>
  <c r="D567" i="53246"/>
  <c r="D566" i="53246"/>
  <c r="D565" i="53246"/>
  <c r="D564" i="53246"/>
  <c r="D563" i="53246"/>
  <c r="D562" i="53246"/>
  <c r="D561" i="53246"/>
  <c r="D560" i="53246"/>
  <c r="D559" i="53246"/>
  <c r="D558" i="53246"/>
  <c r="D557" i="53246"/>
  <c r="D556" i="53246"/>
  <c r="D555" i="53246"/>
  <c r="D554" i="53246"/>
  <c r="D553" i="53246"/>
  <c r="D552" i="53246"/>
  <c r="D551" i="53246"/>
  <c r="D550" i="53246"/>
  <c r="D549" i="53246"/>
  <c r="D548" i="53246"/>
  <c r="D547" i="53246"/>
  <c r="D546" i="53246"/>
  <c r="D545" i="53246"/>
  <c r="D544" i="53246"/>
  <c r="D543" i="53246"/>
  <c r="D542" i="53246"/>
  <c r="D541" i="53246"/>
  <c r="D540" i="53246"/>
  <c r="D539" i="53246"/>
  <c r="D538" i="53246"/>
  <c r="D537" i="53246"/>
  <c r="AI536" i="53246"/>
  <c r="AH536" i="53246"/>
  <c r="AH578" i="53246" s="1"/>
  <c r="AG536" i="53246"/>
  <c r="AG578" i="53246" s="1"/>
  <c r="AF536" i="53246"/>
  <c r="AF578" i="53246" s="1"/>
  <c r="AE536" i="53246"/>
  <c r="AD536" i="53246"/>
  <c r="AD578" i="53246" s="1"/>
  <c r="AC536" i="53246"/>
  <c r="AC578" i="53246" s="1"/>
  <c r="AB536" i="53246"/>
  <c r="AB578" i="53246" s="1"/>
  <c r="AA536" i="53246"/>
  <c r="Z536" i="53246"/>
  <c r="Z578" i="53246" s="1"/>
  <c r="Y536" i="53246"/>
  <c r="Y578" i="53246" s="1"/>
  <c r="X536" i="53246"/>
  <c r="X578" i="53246" s="1"/>
  <c r="W536" i="53246"/>
  <c r="V536" i="53246"/>
  <c r="V578" i="53246" s="1"/>
  <c r="U536" i="53246"/>
  <c r="U578" i="53246" s="1"/>
  <c r="T536" i="53246"/>
  <c r="T578" i="53246" s="1"/>
  <c r="S536" i="53246"/>
  <c r="R536" i="53246"/>
  <c r="R578" i="53246" s="1"/>
  <c r="Q536" i="53246"/>
  <c r="Q578" i="53246" s="1"/>
  <c r="P536" i="53246"/>
  <c r="P578" i="53246" s="1"/>
  <c r="O536" i="53246"/>
  <c r="N536" i="53246"/>
  <c r="N578" i="53246" s="1"/>
  <c r="M536" i="53246"/>
  <c r="M578" i="53246" s="1"/>
  <c r="L536" i="53246"/>
  <c r="L578" i="53246" s="1"/>
  <c r="K536" i="53246"/>
  <c r="J536" i="53246"/>
  <c r="J578" i="53246" s="1"/>
  <c r="I536" i="53246"/>
  <c r="I578" i="53246" s="1"/>
  <c r="H536" i="53246"/>
  <c r="H578" i="53246" s="1"/>
  <c r="G536" i="53246"/>
  <c r="F536" i="53246"/>
  <c r="F578" i="53246" s="1"/>
  <c r="E536" i="53246"/>
  <c r="E578" i="53246" s="1"/>
  <c r="D536" i="53246"/>
  <c r="D535" i="53246"/>
  <c r="D534" i="53246"/>
  <c r="D533" i="53246"/>
  <c r="D532" i="53246"/>
  <c r="D531" i="53246"/>
  <c r="D530" i="53246"/>
  <c r="D529" i="53246"/>
  <c r="D528" i="53246"/>
  <c r="D527" i="53246"/>
  <c r="D526" i="53246"/>
  <c r="D525" i="53246"/>
  <c r="D524" i="53246"/>
  <c r="D523" i="53246"/>
  <c r="D522" i="53246"/>
  <c r="D521" i="53246"/>
  <c r="D520" i="53246"/>
  <c r="D519" i="53246"/>
  <c r="D518" i="53246"/>
  <c r="D517" i="53246"/>
  <c r="D516" i="53246"/>
  <c r="D515" i="53246"/>
  <c r="D514" i="53246"/>
  <c r="D513" i="53246"/>
  <c r="D512" i="53246"/>
  <c r="D511" i="53246"/>
  <c r="D510" i="53246"/>
  <c r="D509" i="53246"/>
  <c r="D508" i="53246"/>
  <c r="D507" i="53246"/>
  <c r="D506" i="53246"/>
  <c r="D505" i="53246"/>
  <c r="D504" i="53246"/>
  <c r="D503" i="53246"/>
  <c r="D502" i="53246"/>
  <c r="D501" i="53246"/>
  <c r="D500" i="53246"/>
  <c r="D499" i="53246"/>
  <c r="D498" i="53246"/>
  <c r="D497" i="53246"/>
  <c r="D496" i="53246"/>
  <c r="AI495" i="53246"/>
  <c r="AH495" i="53246"/>
  <c r="AG495" i="53246"/>
  <c r="AF495" i="53246"/>
  <c r="AE495" i="53246"/>
  <c r="AD495" i="53246"/>
  <c r="AC495" i="53246"/>
  <c r="AB495" i="53246"/>
  <c r="AA495" i="53246"/>
  <c r="Z495" i="53246"/>
  <c r="Y495" i="53246"/>
  <c r="X495" i="53246"/>
  <c r="W495" i="53246"/>
  <c r="V495" i="53246"/>
  <c r="U495" i="53246"/>
  <c r="T495" i="53246"/>
  <c r="S495" i="53246"/>
  <c r="R495" i="53246"/>
  <c r="Q495" i="53246"/>
  <c r="P495" i="53246"/>
  <c r="O495" i="53246"/>
  <c r="N495" i="53246"/>
  <c r="M495" i="53246"/>
  <c r="L495" i="53246"/>
  <c r="K495" i="53246"/>
  <c r="J495" i="53246"/>
  <c r="I495" i="53246"/>
  <c r="H495" i="53246"/>
  <c r="G495" i="53246"/>
  <c r="F495" i="53246"/>
  <c r="E495" i="53246"/>
  <c r="D495" i="53246"/>
  <c r="D494" i="53246"/>
  <c r="D493" i="53246"/>
  <c r="D492" i="53246"/>
  <c r="D491" i="53246"/>
  <c r="D490" i="53246"/>
  <c r="D489" i="53246"/>
  <c r="D488" i="53246"/>
  <c r="D487" i="53246"/>
  <c r="D486" i="53246"/>
  <c r="D485" i="53246"/>
  <c r="D484" i="53246"/>
  <c r="D483" i="53246"/>
  <c r="D482" i="53246"/>
  <c r="D481" i="53246"/>
  <c r="D480" i="53246"/>
  <c r="D479" i="53246"/>
  <c r="D478" i="53246"/>
  <c r="D477" i="53246"/>
  <c r="D476" i="53246"/>
  <c r="D475" i="53246"/>
  <c r="D474" i="53246"/>
  <c r="D473" i="53246"/>
  <c r="P472" i="53246"/>
  <c r="D472" i="53246" s="1"/>
  <c r="D336" i="53246" s="1"/>
  <c r="D471" i="53246"/>
  <c r="D470" i="53246"/>
  <c r="D469" i="53246"/>
  <c r="D468" i="53246"/>
  <c r="D467" i="53246"/>
  <c r="D466" i="53246"/>
  <c r="D465" i="53246"/>
  <c r="D464" i="53246"/>
  <c r="D463" i="53246"/>
  <c r="D462" i="53246"/>
  <c r="D461" i="53246"/>
  <c r="D460" i="53246"/>
  <c r="D459" i="53246"/>
  <c r="D458" i="53246"/>
  <c r="D457" i="53246"/>
  <c r="D456" i="53246"/>
  <c r="D455" i="53246"/>
  <c r="D454" i="53246"/>
  <c r="D453" i="53246"/>
  <c r="D452" i="53246"/>
  <c r="D451" i="53246"/>
  <c r="D450" i="53246"/>
  <c r="D449" i="53246"/>
  <c r="D448" i="53246"/>
  <c r="D447" i="53246"/>
  <c r="D446" i="53246"/>
  <c r="D445" i="53246"/>
  <c r="D444" i="53246"/>
  <c r="D443" i="53246"/>
  <c r="D442" i="53246"/>
  <c r="D441" i="53246"/>
  <c r="D440" i="53246"/>
  <c r="D439" i="53246"/>
  <c r="D438" i="53246"/>
  <c r="D437" i="53246"/>
  <c r="D436" i="53246"/>
  <c r="D435" i="53246"/>
  <c r="D434" i="53246"/>
  <c r="D433" i="53246"/>
  <c r="D432" i="53246"/>
  <c r="D431" i="53246"/>
  <c r="D430" i="53246"/>
  <c r="D429" i="53246"/>
  <c r="D428" i="53246"/>
  <c r="D427" i="53246"/>
  <c r="D426" i="53246"/>
  <c r="D425" i="53246"/>
  <c r="D424" i="53246"/>
  <c r="D423" i="53246"/>
  <c r="D422" i="53246"/>
  <c r="D421" i="53246"/>
  <c r="D420" i="53246"/>
  <c r="D419" i="53246"/>
  <c r="D418" i="53246"/>
  <c r="D417" i="53246"/>
  <c r="D416" i="53246"/>
  <c r="D415" i="53246"/>
  <c r="D414" i="53246"/>
  <c r="D413" i="53246"/>
  <c r="D412" i="53246"/>
  <c r="D411" i="53246"/>
  <c r="D410" i="53246"/>
  <c r="D409" i="53246"/>
  <c r="D408" i="53246"/>
  <c r="D407" i="53246"/>
  <c r="D406" i="53246"/>
  <c r="D405" i="53246"/>
  <c r="D404" i="53246"/>
  <c r="D403" i="53246"/>
  <c r="D402" i="53246"/>
  <c r="D401" i="53246"/>
  <c r="D400" i="53246"/>
  <c r="D399" i="53246"/>
  <c r="D398" i="53246"/>
  <c r="D397" i="53246"/>
  <c r="D396" i="53246"/>
  <c r="D395" i="53246"/>
  <c r="D394" i="53246"/>
  <c r="D393" i="53246"/>
  <c r="D392" i="53246"/>
  <c r="D391" i="53246"/>
  <c r="D390" i="53246"/>
  <c r="D389" i="53246"/>
  <c r="D388" i="53246"/>
  <c r="D387" i="53246"/>
  <c r="D386" i="53246"/>
  <c r="D385" i="53246"/>
  <c r="D384" i="53246"/>
  <c r="D383" i="53246"/>
  <c r="D382" i="53246"/>
  <c r="D381" i="53246"/>
  <c r="D380" i="53246"/>
  <c r="D379" i="53246"/>
  <c r="D378" i="53246"/>
  <c r="D377" i="53246"/>
  <c r="D376" i="53246"/>
  <c r="D375" i="53246"/>
  <c r="D374" i="53246"/>
  <c r="D373" i="53246"/>
  <c r="D372" i="53246"/>
  <c r="D371" i="53246"/>
  <c r="D370" i="53246"/>
  <c r="D369" i="53246"/>
  <c r="D368" i="53246"/>
  <c r="D367" i="53246"/>
  <c r="D366" i="53246"/>
  <c r="D365" i="53246"/>
  <c r="D364" i="53246"/>
  <c r="D363" i="53246"/>
  <c r="D362" i="53246"/>
  <c r="D361" i="53246"/>
  <c r="D360" i="53246"/>
  <c r="D359" i="53246"/>
  <c r="D358" i="53246"/>
  <c r="D357" i="53246"/>
  <c r="D356" i="53246"/>
  <c r="D355" i="53246"/>
  <c r="D354" i="53246"/>
  <c r="D353" i="53246"/>
  <c r="D352" i="53246"/>
  <c r="D351" i="53246"/>
  <c r="D350" i="53246"/>
  <c r="D349" i="53246"/>
  <c r="D348" i="53246"/>
  <c r="D347" i="53246"/>
  <c r="D346" i="53246"/>
  <c r="D345" i="53246"/>
  <c r="D344" i="53246"/>
  <c r="D343" i="53246"/>
  <c r="D342" i="53246"/>
  <c r="D341" i="53246"/>
  <c r="D340" i="53246"/>
  <c r="D339" i="53246"/>
  <c r="D338" i="53246"/>
  <c r="D337" i="53246"/>
  <c r="AI336" i="53246"/>
  <c r="AH336" i="53246"/>
  <c r="AG336" i="53246"/>
  <c r="AF336" i="53246"/>
  <c r="AE336" i="53246"/>
  <c r="AE578" i="53246" s="1"/>
  <c r="AD336" i="53246"/>
  <c r="AC336" i="53246"/>
  <c r="AB336" i="53246"/>
  <c r="AA336" i="53246"/>
  <c r="AA578" i="53246" s="1"/>
  <c r="Z336" i="53246"/>
  <c r="Y336" i="53246"/>
  <c r="X336" i="53246"/>
  <c r="W336" i="53246"/>
  <c r="W578" i="53246" s="1"/>
  <c r="V336" i="53246"/>
  <c r="U336" i="53246"/>
  <c r="T336" i="53246"/>
  <c r="S336" i="53246"/>
  <c r="S578" i="53246" s="1"/>
  <c r="R336" i="53246"/>
  <c r="Q336" i="53246"/>
  <c r="P336" i="53246"/>
  <c r="O336" i="53246"/>
  <c r="O578" i="53246" s="1"/>
  <c r="N336" i="53246"/>
  <c r="M336" i="53246"/>
  <c r="L336" i="53246"/>
  <c r="K336" i="53246"/>
  <c r="K578" i="53246" s="1"/>
  <c r="J336" i="53246"/>
  <c r="I336" i="53246"/>
  <c r="H336" i="53246"/>
  <c r="G336" i="53246"/>
  <c r="G578" i="53246" s="1"/>
  <c r="F336" i="53246"/>
  <c r="E336" i="53246"/>
  <c r="D335" i="53246"/>
  <c r="D334" i="53246"/>
  <c r="D333" i="53246"/>
  <c r="D332" i="53246"/>
  <c r="D331" i="53246"/>
  <c r="D330" i="53246"/>
  <c r="D329" i="53246"/>
  <c r="D328" i="53246"/>
  <c r="D327" i="53246"/>
  <c r="D326" i="53246"/>
  <c r="D325" i="53246"/>
  <c r="D324" i="53246"/>
  <c r="D323" i="53246"/>
  <c r="D322" i="53246"/>
  <c r="D321" i="53246"/>
  <c r="D320" i="53246"/>
  <c r="D319" i="53246"/>
  <c r="D318" i="53246"/>
  <c r="D317" i="53246"/>
  <c r="D316" i="53246"/>
  <c r="D315" i="53246"/>
  <c r="D314" i="53246"/>
  <c r="D313" i="53246"/>
  <c r="D312" i="53246"/>
  <c r="D311" i="53246"/>
  <c r="D310" i="53246"/>
  <c r="D309" i="53246"/>
  <c r="D308" i="53246"/>
  <c r="D307" i="53246"/>
  <c r="D306" i="53246"/>
  <c r="D305" i="53246"/>
  <c r="D304" i="53246"/>
  <c r="AI303" i="53246"/>
  <c r="AH303" i="53246"/>
  <c r="AG303" i="53246"/>
  <c r="AF303" i="53246"/>
  <c r="AE303" i="53246"/>
  <c r="AD303" i="53246"/>
  <c r="AC303" i="53246"/>
  <c r="AB303" i="53246"/>
  <c r="AA303" i="53246"/>
  <c r="Z303" i="53246"/>
  <c r="Y303" i="53246"/>
  <c r="X303" i="53246"/>
  <c r="W303" i="53246"/>
  <c r="V303" i="53246"/>
  <c r="U303" i="53246"/>
  <c r="T303" i="53246"/>
  <c r="S303" i="53246"/>
  <c r="R303" i="53246"/>
  <c r="Q303" i="53246"/>
  <c r="P303" i="53246"/>
  <c r="O303" i="53246"/>
  <c r="N303" i="53246"/>
  <c r="M303" i="53246"/>
  <c r="L303" i="53246"/>
  <c r="K303" i="53246"/>
  <c r="J303" i="53246"/>
  <c r="I303" i="53246"/>
  <c r="H303" i="53246"/>
  <c r="G303" i="53246"/>
  <c r="F303" i="53246"/>
  <c r="E303" i="53246"/>
  <c r="D303" i="53246"/>
  <c r="D302" i="53246"/>
  <c r="D301" i="53246"/>
  <c r="D300" i="53246"/>
  <c r="D299" i="53246"/>
  <c r="D298" i="53246"/>
  <c r="D297" i="53246"/>
  <c r="D296" i="53246"/>
  <c r="D295" i="53246"/>
  <c r="D294" i="53246"/>
  <c r="D293" i="53246"/>
  <c r="D292" i="53246"/>
  <c r="D291" i="53246"/>
  <c r="D290" i="53246"/>
  <c r="D289" i="53246"/>
  <c r="D288" i="53246"/>
  <c r="D287" i="53246"/>
  <c r="D286" i="53246"/>
  <c r="D285" i="53246"/>
  <c r="D284" i="53246"/>
  <c r="D283" i="53246"/>
  <c r="D282" i="53246"/>
  <c r="D281" i="53246"/>
  <c r="D280" i="53246"/>
  <c r="D279" i="53246"/>
  <c r="D278" i="53246"/>
  <c r="D277" i="53246"/>
  <c r="D276" i="53246"/>
  <c r="D275" i="53246"/>
  <c r="D274" i="53246"/>
  <c r="D273" i="53246"/>
  <c r="D272" i="53246"/>
  <c r="D271" i="53246"/>
  <c r="D270" i="53246"/>
  <c r="D269" i="53246"/>
  <c r="D268" i="53246"/>
  <c r="D267" i="53246"/>
  <c r="D266" i="53246"/>
  <c r="D265" i="53246"/>
  <c r="D264" i="53246"/>
  <c r="D263" i="53246"/>
  <c r="D262" i="53246"/>
  <c r="D261" i="53246"/>
  <c r="D260" i="53246"/>
  <c r="D259" i="53246"/>
  <c r="D258" i="53246"/>
  <c r="D257" i="53246"/>
  <c r="D256" i="53246"/>
  <c r="D255" i="53246"/>
  <c r="D254" i="53246"/>
  <c r="D253" i="53246"/>
  <c r="D252" i="53246"/>
  <c r="D251" i="53246"/>
  <c r="D250" i="53246"/>
  <c r="D249" i="53246"/>
  <c r="D248" i="53246"/>
  <c r="D247" i="53246"/>
  <c r="D246" i="53246"/>
  <c r="D245" i="53246"/>
  <c r="D244" i="53246"/>
  <c r="D243" i="53246"/>
  <c r="D242" i="53246"/>
  <c r="D241" i="53246"/>
  <c r="D240" i="53246"/>
  <c r="D239" i="53246"/>
  <c r="D238" i="53246"/>
  <c r="D237" i="53246"/>
  <c r="D236" i="53246"/>
  <c r="D235" i="53246"/>
  <c r="D234" i="53246"/>
  <c r="D233" i="53246"/>
  <c r="D232" i="53246"/>
  <c r="D231" i="53246"/>
  <c r="D230" i="53246"/>
  <c r="D229" i="53246"/>
  <c r="D228" i="53246"/>
  <c r="D227" i="53246"/>
  <c r="D226" i="53246"/>
  <c r="D225" i="53246"/>
  <c r="D224" i="53246"/>
  <c r="D223" i="53246"/>
  <c r="D222" i="53246"/>
  <c r="D221" i="53246"/>
  <c r="D220" i="53246"/>
  <c r="D219" i="53246"/>
  <c r="D218" i="53246"/>
  <c r="D217" i="53246"/>
  <c r="D216" i="53246"/>
  <c r="D215" i="53246"/>
  <c r="D214" i="53246"/>
  <c r="D213" i="53246"/>
  <c r="D212" i="53246"/>
  <c r="D211" i="53246"/>
  <c r="D210" i="53246"/>
  <c r="D209" i="53246"/>
  <c r="D208" i="53246"/>
  <c r="D207" i="53246"/>
  <c r="D206" i="53246"/>
  <c r="D205" i="53246"/>
  <c r="D204" i="53246"/>
  <c r="D203" i="53246"/>
  <c r="D202" i="53246"/>
  <c r="D201" i="53246"/>
  <c r="D200" i="53246"/>
  <c r="D199" i="53246"/>
  <c r="D198" i="53246"/>
  <c r="D197" i="53246"/>
  <c r="D196" i="53246"/>
  <c r="D195" i="53246"/>
  <c r="D194" i="53246"/>
  <c r="D193" i="53246"/>
  <c r="D192" i="53246"/>
  <c r="D191" i="53246"/>
  <c r="D190" i="53246"/>
  <c r="D189" i="53246"/>
  <c r="D188" i="53246"/>
  <c r="D187" i="53246"/>
  <c r="D186" i="53246"/>
  <c r="D185" i="53246"/>
  <c r="D184" i="53246"/>
  <c r="D183" i="53246"/>
  <c r="D182" i="53246"/>
  <c r="D181" i="53246"/>
  <c r="D180" i="53246"/>
  <c r="D179" i="53246"/>
  <c r="D178" i="53246"/>
  <c r="D177" i="53246"/>
  <c r="D176" i="53246"/>
  <c r="D175" i="53246"/>
  <c r="D174" i="53246"/>
  <c r="D173" i="53246"/>
  <c r="D172" i="53246"/>
  <c r="D171" i="53246"/>
  <c r="D170" i="53246"/>
  <c r="D169" i="53246"/>
  <c r="D168" i="53246"/>
  <c r="D167" i="53246"/>
  <c r="D166" i="53246"/>
  <c r="D165" i="53246"/>
  <c r="D164" i="53246"/>
  <c r="D163" i="53246"/>
  <c r="D162" i="53246"/>
  <c r="D161" i="53246"/>
  <c r="D160" i="53246"/>
  <c r="D159" i="53246"/>
  <c r="D158" i="53246"/>
  <c r="D157" i="53246"/>
  <c r="D156" i="53246"/>
  <c r="D155" i="53246"/>
  <c r="D154" i="53246"/>
  <c r="D153" i="53246"/>
  <c r="D152" i="53246"/>
  <c r="D151" i="53246"/>
  <c r="D150" i="53246"/>
  <c r="D149" i="53246"/>
  <c r="D148" i="53246"/>
  <c r="D147" i="53246"/>
  <c r="D146" i="53246"/>
  <c r="D144" i="53246" s="1"/>
  <c r="D145" i="53246"/>
  <c r="AI144" i="53246"/>
  <c r="AH144" i="53246"/>
  <c r="AG144" i="53246"/>
  <c r="AF144" i="53246"/>
  <c r="AE144" i="53246"/>
  <c r="AD144" i="53246"/>
  <c r="AC144" i="53246"/>
  <c r="AB144" i="53246"/>
  <c r="AA144" i="53246"/>
  <c r="Z144" i="53246"/>
  <c r="Y144" i="53246"/>
  <c r="X144" i="53246"/>
  <c r="W144" i="53246"/>
  <c r="V144" i="53246"/>
  <c r="U144" i="53246"/>
  <c r="T144" i="53246"/>
  <c r="S144" i="53246"/>
  <c r="R144" i="53246"/>
  <c r="Q144" i="53246"/>
  <c r="P144" i="53246"/>
  <c r="O144" i="53246"/>
  <c r="N144" i="53246"/>
  <c r="M144" i="53246"/>
  <c r="L144" i="53246"/>
  <c r="K144" i="53246"/>
  <c r="J144" i="53246"/>
  <c r="I144" i="53246"/>
  <c r="H144" i="53246"/>
  <c r="G144" i="53246"/>
  <c r="F144" i="53246"/>
  <c r="E144" i="53246"/>
  <c r="D143" i="53246"/>
  <c r="D142" i="53246"/>
  <c r="D141" i="53246"/>
  <c r="D140" i="53246"/>
  <c r="D139" i="53246"/>
  <c r="D138" i="53246"/>
  <c r="D137" i="53246"/>
  <c r="D136" i="53246"/>
  <c r="D135" i="53246"/>
  <c r="D134" i="53246"/>
  <c r="D133" i="53246"/>
  <c r="D132" i="53246"/>
  <c r="D131" i="53246"/>
  <c r="D130" i="53246"/>
  <c r="D129" i="53246"/>
  <c r="D128" i="53246"/>
  <c r="D127" i="53246"/>
  <c r="D126" i="53246"/>
  <c r="D125" i="53246"/>
  <c r="D124" i="53246"/>
  <c r="D123" i="53246"/>
  <c r="D122" i="53246"/>
  <c r="D121" i="53246"/>
  <c r="D120" i="53246"/>
  <c r="AH119" i="53246"/>
  <c r="O119" i="53246"/>
  <c r="O101" i="53246" s="1"/>
  <c r="D118" i="53246"/>
  <c r="D117" i="53246"/>
  <c r="D116" i="53246"/>
  <c r="D115" i="53246"/>
  <c r="D114" i="53246"/>
  <c r="D113" i="53246"/>
  <c r="D112" i="53246"/>
  <c r="D111" i="53246"/>
  <c r="D110" i="53246"/>
  <c r="D109" i="53246"/>
  <c r="D108" i="53246"/>
  <c r="D107" i="53246"/>
  <c r="D106" i="53246"/>
  <c r="D105" i="53246"/>
  <c r="D104" i="53246"/>
  <c r="D103" i="53246"/>
  <c r="D102" i="53246"/>
  <c r="AI101" i="53246"/>
  <c r="AH101" i="53246"/>
  <c r="AG101" i="53246"/>
  <c r="AF101" i="53246"/>
  <c r="AE101" i="53246"/>
  <c r="AD101" i="53246"/>
  <c r="AC101" i="53246"/>
  <c r="AB101" i="53246"/>
  <c r="AA101" i="53246"/>
  <c r="Z101" i="53246"/>
  <c r="Y101" i="53246"/>
  <c r="X101" i="53246"/>
  <c r="W101" i="53246"/>
  <c r="V101" i="53246"/>
  <c r="U101" i="53246"/>
  <c r="T101" i="53246"/>
  <c r="S101" i="53246"/>
  <c r="R101" i="53246"/>
  <c r="Q101" i="53246"/>
  <c r="P101" i="53246"/>
  <c r="N101" i="53246"/>
  <c r="M101" i="53246"/>
  <c r="L101" i="53246"/>
  <c r="K101" i="53246"/>
  <c r="J101" i="53246"/>
  <c r="I101" i="53246"/>
  <c r="H101" i="53246"/>
  <c r="G101" i="53246"/>
  <c r="F101" i="53246"/>
  <c r="E101" i="53246"/>
  <c r="D100" i="53246"/>
  <c r="D99" i="53246"/>
  <c r="D98" i="53246"/>
  <c r="D97" i="53246"/>
  <c r="D96" i="53246"/>
  <c r="D95" i="53246"/>
  <c r="D94" i="53246"/>
  <c r="D93" i="53246"/>
  <c r="D92" i="53246"/>
  <c r="D91" i="53246"/>
  <c r="D90" i="53246"/>
  <c r="D89" i="53246"/>
  <c r="D88" i="53246"/>
  <c r="D87" i="53246"/>
  <c r="D86" i="53246"/>
  <c r="D85" i="53246"/>
  <c r="D84" i="53246"/>
  <c r="D83" i="53246"/>
  <c r="D82" i="53246"/>
  <c r="D81" i="53246"/>
  <c r="D80" i="53246"/>
  <c r="D79" i="53246"/>
  <c r="D78" i="53246"/>
  <c r="D77" i="53246"/>
  <c r="D76" i="53246"/>
  <c r="D75" i="53246"/>
  <c r="D74" i="53246"/>
  <c r="D73" i="53246"/>
  <c r="D72" i="53246"/>
  <c r="D71" i="53246"/>
  <c r="D70" i="53246"/>
  <c r="D69" i="53246"/>
  <c r="D68" i="53246"/>
  <c r="D67" i="53246"/>
  <c r="D66" i="53246"/>
  <c r="D65" i="53246"/>
  <c r="D64" i="53246"/>
  <c r="AI63" i="53246"/>
  <c r="D63" i="53246" s="1"/>
  <c r="D62" i="53246"/>
  <c r="D61" i="53246"/>
  <c r="D60" i="53246"/>
  <c r="D59" i="53246"/>
  <c r="D58" i="53246"/>
  <c r="D57" i="53246"/>
  <c r="D56" i="53246"/>
  <c r="D55" i="53246"/>
  <c r="AH54" i="53246"/>
  <c r="AG54" i="53246"/>
  <c r="AF54" i="53246"/>
  <c r="AE54" i="53246"/>
  <c r="AD54" i="53246"/>
  <c r="AC54" i="53246"/>
  <c r="AB54" i="53246"/>
  <c r="AA54" i="53246"/>
  <c r="Z54" i="53246"/>
  <c r="Y54" i="53246"/>
  <c r="X54" i="53246"/>
  <c r="W54" i="53246"/>
  <c r="V54" i="53246"/>
  <c r="U54" i="53246"/>
  <c r="T54" i="53246"/>
  <c r="S54" i="53246"/>
  <c r="R54" i="53246"/>
  <c r="Q54" i="53246"/>
  <c r="P54" i="53246"/>
  <c r="O54" i="53246"/>
  <c r="N54" i="53246"/>
  <c r="M54" i="53246"/>
  <c r="L54" i="53246"/>
  <c r="K54" i="53246"/>
  <c r="J54" i="53246"/>
  <c r="I54" i="53246"/>
  <c r="H54" i="53246"/>
  <c r="G54" i="53246"/>
  <c r="F54" i="53246"/>
  <c r="E54" i="53246"/>
  <c r="D53" i="53246"/>
  <c r="D52" i="53246"/>
  <c r="D51" i="53246"/>
  <c r="D50" i="53246"/>
  <c r="D49" i="53246"/>
  <c r="D48" i="53246"/>
  <c r="D47" i="53246"/>
  <c r="D46" i="53246"/>
  <c r="D45" i="53246"/>
  <c r="D44" i="53246"/>
  <c r="D43" i="53246"/>
  <c r="D42" i="53246"/>
  <c r="D41" i="53246"/>
  <c r="D40" i="53246"/>
  <c r="D39" i="53246"/>
  <c r="D38" i="53246"/>
  <c r="D37" i="53246"/>
  <c r="D36" i="53246"/>
  <c r="D35" i="53246"/>
  <c r="D34" i="53246"/>
  <c r="D33" i="53246"/>
  <c r="D32" i="53246"/>
  <c r="D31" i="53246"/>
  <c r="D30" i="53246"/>
  <c r="D29" i="53246"/>
  <c r="D28" i="53246"/>
  <c r="D27" i="53246"/>
  <c r="D26" i="53246"/>
  <c r="D25" i="53246"/>
  <c r="D24" i="53246"/>
  <c r="D23" i="53246"/>
  <c r="AI22" i="53246"/>
  <c r="AH22" i="53246"/>
  <c r="AG22" i="53246"/>
  <c r="AF22" i="53246"/>
  <c r="AE22" i="53246"/>
  <c r="AD22" i="53246"/>
  <c r="AC22" i="53246"/>
  <c r="AB22" i="53246"/>
  <c r="AA22" i="53246"/>
  <c r="Z22" i="53246"/>
  <c r="Y22" i="53246"/>
  <c r="X22" i="53246"/>
  <c r="W22" i="53246"/>
  <c r="V22" i="53246"/>
  <c r="U22" i="53246"/>
  <c r="T22" i="53246"/>
  <c r="S22" i="53246"/>
  <c r="R22" i="53246"/>
  <c r="Q22" i="53246"/>
  <c r="P22" i="53246"/>
  <c r="O22" i="53246"/>
  <c r="N22" i="53246"/>
  <c r="M22" i="53246"/>
  <c r="L22" i="53246"/>
  <c r="K22" i="53246"/>
  <c r="J22" i="53246"/>
  <c r="I22" i="53246"/>
  <c r="H22" i="53246"/>
  <c r="G22" i="53246"/>
  <c r="F22" i="53246"/>
  <c r="E22" i="53246"/>
  <c r="D22" i="53246"/>
  <c r="D21" i="53246"/>
  <c r="D20" i="53246"/>
  <c r="D19" i="53246"/>
  <c r="D18" i="53246"/>
  <c r="D17" i="53246"/>
  <c r="D16" i="53246"/>
  <c r="D15" i="53246"/>
  <c r="D14" i="53246"/>
  <c r="D13" i="53246"/>
  <c r="V12" i="53246"/>
  <c r="D12" i="53246"/>
  <c r="D11" i="53246"/>
  <c r="D10" i="53246"/>
  <c r="D9" i="53246"/>
  <c r="D8" i="53246"/>
  <c r="D7" i="53246"/>
  <c r="D6" i="53246"/>
  <c r="D3" i="53246" s="1"/>
  <c r="D5" i="53246"/>
  <c r="D4" i="53246"/>
  <c r="AI3" i="53246"/>
  <c r="AH3" i="53246"/>
  <c r="AG3" i="53246"/>
  <c r="AF3" i="53246"/>
  <c r="AE3" i="53246"/>
  <c r="AD3" i="53246"/>
  <c r="AC3" i="53246"/>
  <c r="AB3" i="53246"/>
  <c r="AA3" i="53246"/>
  <c r="Z3" i="53246"/>
  <c r="Y3" i="53246"/>
  <c r="X3" i="53246"/>
  <c r="W3" i="53246"/>
  <c r="V3" i="53246"/>
  <c r="U3" i="53246"/>
  <c r="T3" i="53246"/>
  <c r="S3" i="53246"/>
  <c r="R3" i="53246"/>
  <c r="Q3" i="53246"/>
  <c r="P3" i="53246"/>
  <c r="O3" i="53246"/>
  <c r="N3" i="53246"/>
  <c r="M3" i="53246"/>
  <c r="L3" i="53246"/>
  <c r="K3" i="53246"/>
  <c r="J3" i="53246"/>
  <c r="I3" i="53246"/>
  <c r="H3" i="53246"/>
  <c r="G3" i="53246"/>
  <c r="F3" i="53246"/>
  <c r="E3" i="53246"/>
  <c r="D577" i="53245"/>
  <c r="D576" i="53245"/>
  <c r="D575" i="53245"/>
  <c r="D574" i="53245"/>
  <c r="D573" i="53245"/>
  <c r="D572" i="53245"/>
  <c r="D571" i="53245"/>
  <c r="D570" i="53245"/>
  <c r="D569" i="53245"/>
  <c r="D568" i="53245"/>
  <c r="D567" i="53245"/>
  <c r="D566" i="53245"/>
  <c r="D565" i="53245"/>
  <c r="D564" i="53245"/>
  <c r="D563" i="53245"/>
  <c r="D562" i="53245"/>
  <c r="D561" i="53245"/>
  <c r="D560" i="53245"/>
  <c r="D559" i="53245"/>
  <c r="D558" i="53245"/>
  <c r="D557" i="53245"/>
  <c r="D556" i="53245"/>
  <c r="D555" i="53245"/>
  <c r="D554" i="53245"/>
  <c r="D553" i="53245"/>
  <c r="D552" i="53245"/>
  <c r="D551" i="53245"/>
  <c r="D550" i="53245"/>
  <c r="D549" i="53245"/>
  <c r="D548" i="53245"/>
  <c r="D547" i="53245"/>
  <c r="D546" i="53245"/>
  <c r="D545" i="53245"/>
  <c r="D544" i="53245"/>
  <c r="D543" i="53245"/>
  <c r="D542" i="53245"/>
  <c r="D541" i="53245"/>
  <c r="D540" i="53245"/>
  <c r="D539" i="53245"/>
  <c r="D538" i="53245"/>
  <c r="D537" i="53245"/>
  <c r="AI536" i="53245"/>
  <c r="AH536" i="53245"/>
  <c r="AG536" i="53245"/>
  <c r="AF536" i="53245"/>
  <c r="AE536" i="53245"/>
  <c r="AD536" i="53245"/>
  <c r="AC536" i="53245"/>
  <c r="AB536" i="53245"/>
  <c r="AA536" i="53245"/>
  <c r="Z536" i="53245"/>
  <c r="Y536" i="53245"/>
  <c r="X536" i="53245"/>
  <c r="W536" i="53245"/>
  <c r="V536" i="53245"/>
  <c r="U536" i="53245"/>
  <c r="T536" i="53245"/>
  <c r="S536" i="53245"/>
  <c r="R536" i="53245"/>
  <c r="Q536" i="53245"/>
  <c r="P536" i="53245"/>
  <c r="O536" i="53245"/>
  <c r="N536" i="53245"/>
  <c r="M536" i="53245"/>
  <c r="L536" i="53245"/>
  <c r="K536" i="53245"/>
  <c r="J536" i="53245"/>
  <c r="I536" i="53245"/>
  <c r="H536" i="53245"/>
  <c r="G536" i="53245"/>
  <c r="F536" i="53245"/>
  <c r="E536" i="53245"/>
  <c r="D536" i="53245"/>
  <c r="D535" i="53245"/>
  <c r="D534" i="53245"/>
  <c r="D533" i="53245"/>
  <c r="D532" i="53245"/>
  <c r="D531" i="53245"/>
  <c r="D530" i="53245"/>
  <c r="D529" i="53245"/>
  <c r="D528" i="53245"/>
  <c r="D527" i="53245"/>
  <c r="D526" i="53245"/>
  <c r="D525" i="53245"/>
  <c r="D524" i="53245"/>
  <c r="D523" i="53245"/>
  <c r="D522" i="53245"/>
  <c r="D521" i="53245"/>
  <c r="D520" i="53245"/>
  <c r="D519" i="53245"/>
  <c r="D518" i="53245"/>
  <c r="D517" i="53245"/>
  <c r="D516" i="53245"/>
  <c r="D515" i="53245"/>
  <c r="D514" i="53245"/>
  <c r="D513" i="53245"/>
  <c r="D512" i="53245"/>
  <c r="D511" i="53245"/>
  <c r="D510" i="53245"/>
  <c r="D509" i="53245"/>
  <c r="D508" i="53245"/>
  <c r="D507" i="53245"/>
  <c r="AB506" i="53245"/>
  <c r="D506" i="53245"/>
  <c r="D505" i="53245"/>
  <c r="D504" i="53245"/>
  <c r="D503" i="53245"/>
  <c r="D502" i="53245"/>
  <c r="D501" i="53245"/>
  <c r="D500" i="53245"/>
  <c r="D499" i="53245"/>
  <c r="D498" i="53245"/>
  <c r="D497" i="53245"/>
  <c r="D495" i="53245" s="1"/>
  <c r="D496" i="53245"/>
  <c r="AI495" i="53245"/>
  <c r="AH495" i="53245"/>
  <c r="AG495" i="53245"/>
  <c r="AF495" i="53245"/>
  <c r="AE495" i="53245"/>
  <c r="AD495" i="53245"/>
  <c r="AC495" i="53245"/>
  <c r="AB495" i="53245"/>
  <c r="AA495" i="53245"/>
  <c r="Z495" i="53245"/>
  <c r="Y495" i="53245"/>
  <c r="X495" i="53245"/>
  <c r="W495" i="53245"/>
  <c r="V495" i="53245"/>
  <c r="U495" i="53245"/>
  <c r="T495" i="53245"/>
  <c r="S495" i="53245"/>
  <c r="R495" i="53245"/>
  <c r="Q495" i="53245"/>
  <c r="P495" i="53245"/>
  <c r="O495" i="53245"/>
  <c r="N495" i="53245"/>
  <c r="M495" i="53245"/>
  <c r="L495" i="53245"/>
  <c r="K495" i="53245"/>
  <c r="J495" i="53245"/>
  <c r="I495" i="53245"/>
  <c r="H495" i="53245"/>
  <c r="G495" i="53245"/>
  <c r="F495" i="53245"/>
  <c r="E495" i="53245"/>
  <c r="D494" i="53245"/>
  <c r="D493" i="53245"/>
  <c r="D492" i="53245"/>
  <c r="D491" i="53245"/>
  <c r="D490" i="53245"/>
  <c r="D489" i="53245"/>
  <c r="D488" i="53245"/>
  <c r="D487" i="53245"/>
  <c r="D486" i="53245"/>
  <c r="D485" i="53245"/>
  <c r="D484" i="53245"/>
  <c r="D483" i="53245"/>
  <c r="D482" i="53245"/>
  <c r="D481" i="53245"/>
  <c r="D480" i="53245"/>
  <c r="D479" i="53245"/>
  <c r="D478" i="53245"/>
  <c r="D477" i="53245"/>
  <c r="D476" i="53245"/>
  <c r="D475" i="53245"/>
  <c r="D474" i="53245"/>
  <c r="D473" i="53245"/>
  <c r="D472" i="53245"/>
  <c r="D471" i="53245"/>
  <c r="D470" i="53245"/>
  <c r="D469" i="53245"/>
  <c r="D468" i="53245"/>
  <c r="D467" i="53245"/>
  <c r="D466" i="53245"/>
  <c r="D465" i="53245"/>
  <c r="D464" i="53245"/>
  <c r="D463" i="53245"/>
  <c r="D462" i="53245"/>
  <c r="D461" i="53245"/>
  <c r="D460" i="53245"/>
  <c r="D459" i="53245"/>
  <c r="D458" i="53245"/>
  <c r="D457" i="53245"/>
  <c r="D456" i="53245"/>
  <c r="D455" i="53245"/>
  <c r="D454" i="53245"/>
  <c r="D453" i="53245"/>
  <c r="D452" i="53245"/>
  <c r="D451" i="53245"/>
  <c r="D450" i="53245"/>
  <c r="D449" i="53245"/>
  <c r="D448" i="53245"/>
  <c r="D447" i="53245"/>
  <c r="D446" i="53245"/>
  <c r="D445" i="53245"/>
  <c r="D444" i="53245"/>
  <c r="D443" i="53245"/>
  <c r="D442" i="53245"/>
  <c r="D441" i="53245"/>
  <c r="D440" i="53245"/>
  <c r="D439" i="53245"/>
  <c r="D438" i="53245"/>
  <c r="D437" i="53245"/>
  <c r="D436" i="53245"/>
  <c r="D435" i="53245"/>
  <c r="D434" i="53245"/>
  <c r="D433" i="53245"/>
  <c r="D432" i="53245"/>
  <c r="D431" i="53245"/>
  <c r="D430" i="53245"/>
  <c r="D429" i="53245"/>
  <c r="D428" i="53245"/>
  <c r="D427" i="53245"/>
  <c r="D426" i="53245"/>
  <c r="D425" i="53245"/>
  <c r="D424" i="53245"/>
  <c r="D423" i="53245"/>
  <c r="D422" i="53245"/>
  <c r="D421" i="53245"/>
  <c r="D420" i="53245"/>
  <c r="D419" i="53245"/>
  <c r="D418" i="53245"/>
  <c r="D417" i="53245"/>
  <c r="D416" i="53245"/>
  <c r="D415" i="53245"/>
  <c r="D414" i="53245"/>
  <c r="D413" i="53245"/>
  <c r="D412" i="53245"/>
  <c r="D411" i="53245"/>
  <c r="D410" i="53245"/>
  <c r="D409" i="53245"/>
  <c r="D408" i="53245"/>
  <c r="D407" i="53245"/>
  <c r="D406" i="53245"/>
  <c r="D405" i="53245"/>
  <c r="D404" i="53245"/>
  <c r="D403" i="53245"/>
  <c r="D402" i="53245"/>
  <c r="D401" i="53245"/>
  <c r="D400" i="53245"/>
  <c r="D399" i="53245"/>
  <c r="D398" i="53245"/>
  <c r="D397" i="53245"/>
  <c r="D396" i="53245"/>
  <c r="D395" i="53245"/>
  <c r="D394" i="53245"/>
  <c r="D393" i="53245"/>
  <c r="D392" i="53245"/>
  <c r="D391" i="53245"/>
  <c r="D390" i="53245"/>
  <c r="D389" i="53245"/>
  <c r="D388" i="53245"/>
  <c r="D387" i="53245"/>
  <c r="D386" i="53245"/>
  <c r="D385" i="53245"/>
  <c r="D384" i="53245"/>
  <c r="D383" i="53245"/>
  <c r="D382" i="53245"/>
  <c r="D381" i="53245"/>
  <c r="D380" i="53245"/>
  <c r="D379" i="53245"/>
  <c r="D378" i="53245"/>
  <c r="D377" i="53245"/>
  <c r="D376" i="53245"/>
  <c r="D375" i="53245"/>
  <c r="D374" i="53245"/>
  <c r="D373" i="53245"/>
  <c r="D372" i="53245"/>
  <c r="D371" i="53245"/>
  <c r="D370" i="53245"/>
  <c r="D369" i="53245"/>
  <c r="D368" i="53245"/>
  <c r="D367" i="53245"/>
  <c r="D366" i="53245"/>
  <c r="D365" i="53245"/>
  <c r="D364" i="53245"/>
  <c r="D363" i="53245"/>
  <c r="D362" i="53245"/>
  <c r="D361" i="53245"/>
  <c r="D360" i="53245"/>
  <c r="D359" i="53245"/>
  <c r="D358" i="53245"/>
  <c r="D357" i="53245"/>
  <c r="D356" i="53245"/>
  <c r="D355" i="53245"/>
  <c r="D354" i="53245"/>
  <c r="D353" i="53245"/>
  <c r="D352" i="53245"/>
  <c r="D351" i="53245"/>
  <c r="D350" i="53245"/>
  <c r="D349" i="53245"/>
  <c r="D348" i="53245"/>
  <c r="D347" i="53245"/>
  <c r="D346" i="53245"/>
  <c r="D345" i="53245"/>
  <c r="D344" i="53245"/>
  <c r="D343" i="53245"/>
  <c r="D342" i="53245"/>
  <c r="D341" i="53245"/>
  <c r="D340" i="53245"/>
  <c r="D339" i="53245"/>
  <c r="D336" i="53245" s="1"/>
  <c r="D338" i="53245"/>
  <c r="D337" i="53245"/>
  <c r="AI336" i="53245"/>
  <c r="AI578" i="53245" s="1"/>
  <c r="AH336" i="53245"/>
  <c r="AH578" i="53245" s="1"/>
  <c r="AG336" i="53245"/>
  <c r="AF336" i="53245"/>
  <c r="AE336" i="53245"/>
  <c r="AE578" i="53245" s="1"/>
  <c r="AD336" i="53245"/>
  <c r="AD578" i="53245" s="1"/>
  <c r="AC336" i="53245"/>
  <c r="AB336" i="53245"/>
  <c r="AA336" i="53245"/>
  <c r="AA578" i="53245" s="1"/>
  <c r="Z336" i="53245"/>
  <c r="Z578" i="53245" s="1"/>
  <c r="Y336" i="53245"/>
  <c r="X336" i="53245"/>
  <c r="W336" i="53245"/>
  <c r="W578" i="53245" s="1"/>
  <c r="V336" i="53245"/>
  <c r="V578" i="53245" s="1"/>
  <c r="U336" i="53245"/>
  <c r="T336" i="53245"/>
  <c r="S336" i="53245"/>
  <c r="S578" i="53245" s="1"/>
  <c r="R336" i="53245"/>
  <c r="R578" i="53245" s="1"/>
  <c r="Q336" i="53245"/>
  <c r="P336" i="53245"/>
  <c r="O336" i="53245"/>
  <c r="O578" i="53245" s="1"/>
  <c r="N336" i="53245"/>
  <c r="N578" i="53245" s="1"/>
  <c r="M336" i="53245"/>
  <c r="L336" i="53245"/>
  <c r="K336" i="53245"/>
  <c r="K578" i="53245" s="1"/>
  <c r="J336" i="53245"/>
  <c r="J578" i="53245" s="1"/>
  <c r="I336" i="53245"/>
  <c r="H336" i="53245"/>
  <c r="G336" i="53245"/>
  <c r="G578" i="53245" s="1"/>
  <c r="F336" i="53245"/>
  <c r="F578" i="53245" s="1"/>
  <c r="E336" i="53245"/>
  <c r="D335" i="53245"/>
  <c r="D334" i="53245"/>
  <c r="D333" i="53245"/>
  <c r="D332" i="53245"/>
  <c r="D331" i="53245"/>
  <c r="D330" i="53245"/>
  <c r="D329" i="53245"/>
  <c r="D328" i="53245"/>
  <c r="D327" i="53245"/>
  <c r="D326" i="53245"/>
  <c r="D325" i="53245"/>
  <c r="D324" i="53245"/>
  <c r="D323" i="53245"/>
  <c r="D322" i="53245"/>
  <c r="D321" i="53245"/>
  <c r="D320" i="53245"/>
  <c r="D319" i="53245"/>
  <c r="D318" i="53245"/>
  <c r="D317" i="53245"/>
  <c r="D316" i="53245"/>
  <c r="D315" i="53245"/>
  <c r="D314" i="53245"/>
  <c r="D313" i="53245"/>
  <c r="D312" i="53245"/>
  <c r="D311" i="53245"/>
  <c r="D310" i="53245"/>
  <c r="D309" i="53245"/>
  <c r="D308" i="53245"/>
  <c r="D307" i="53245"/>
  <c r="D306" i="53245"/>
  <c r="D303" i="53245" s="1"/>
  <c r="D305" i="53245"/>
  <c r="D304" i="53245"/>
  <c r="AI303" i="53245"/>
  <c r="AH303" i="53245"/>
  <c r="AG303" i="53245"/>
  <c r="AF303" i="53245"/>
  <c r="AE303" i="53245"/>
  <c r="AD303" i="53245"/>
  <c r="AC303" i="53245"/>
  <c r="AB303" i="53245"/>
  <c r="AA303" i="53245"/>
  <c r="Z303" i="53245"/>
  <c r="Y303" i="53245"/>
  <c r="X303" i="53245"/>
  <c r="W303" i="53245"/>
  <c r="V303" i="53245"/>
  <c r="U303" i="53245"/>
  <c r="T303" i="53245"/>
  <c r="S303" i="53245"/>
  <c r="R303" i="53245"/>
  <c r="Q303" i="53245"/>
  <c r="P303" i="53245"/>
  <c r="O303" i="53245"/>
  <c r="N303" i="53245"/>
  <c r="M303" i="53245"/>
  <c r="L303" i="53245"/>
  <c r="K303" i="53245"/>
  <c r="J303" i="53245"/>
  <c r="I303" i="53245"/>
  <c r="H303" i="53245"/>
  <c r="G303" i="53245"/>
  <c r="F303" i="53245"/>
  <c r="E303" i="53245"/>
  <c r="D302" i="53245"/>
  <c r="D301" i="53245"/>
  <c r="D300" i="53245"/>
  <c r="D299" i="53245"/>
  <c r="D298" i="53245"/>
  <c r="D297" i="53245"/>
  <c r="D296" i="53245"/>
  <c r="D295" i="53245"/>
  <c r="D294" i="53245"/>
  <c r="D293" i="53245"/>
  <c r="D292" i="53245"/>
  <c r="D291" i="53245"/>
  <c r="D290" i="53245"/>
  <c r="D289" i="53245"/>
  <c r="D288" i="53245"/>
  <c r="D287" i="53245"/>
  <c r="D286" i="53245"/>
  <c r="D285" i="53245"/>
  <c r="D284" i="53245"/>
  <c r="D283" i="53245"/>
  <c r="D282" i="53245"/>
  <c r="D281" i="53245"/>
  <c r="D280" i="53245"/>
  <c r="D279" i="53245"/>
  <c r="D278" i="53245"/>
  <c r="D277" i="53245"/>
  <c r="D276" i="53245"/>
  <c r="D275" i="53245"/>
  <c r="D274" i="53245"/>
  <c r="D273" i="53245"/>
  <c r="D272" i="53245"/>
  <c r="D271" i="53245"/>
  <c r="D270" i="53245"/>
  <c r="D269" i="53245"/>
  <c r="D268" i="53245"/>
  <c r="D267" i="53245"/>
  <c r="D266" i="53245"/>
  <c r="D265" i="53245"/>
  <c r="D264" i="53245"/>
  <c r="D263" i="53245"/>
  <c r="D262" i="53245"/>
  <c r="D261" i="53245"/>
  <c r="D260" i="53245"/>
  <c r="D259" i="53245"/>
  <c r="D258" i="53245"/>
  <c r="D257" i="53245"/>
  <c r="D256" i="53245"/>
  <c r="D255" i="53245"/>
  <c r="D254" i="53245"/>
  <c r="D253" i="53245"/>
  <c r="D252" i="53245"/>
  <c r="D251" i="53245"/>
  <c r="D250" i="53245"/>
  <c r="D249" i="53245"/>
  <c r="D248" i="53245"/>
  <c r="D247" i="53245"/>
  <c r="D246" i="53245"/>
  <c r="D245" i="53245"/>
  <c r="D244" i="53245"/>
  <c r="D243" i="53245"/>
  <c r="D242" i="53245"/>
  <c r="D241" i="53245"/>
  <c r="D240" i="53245"/>
  <c r="D239" i="53245"/>
  <c r="D238" i="53245"/>
  <c r="D237" i="53245"/>
  <c r="D236" i="53245"/>
  <c r="D235" i="53245"/>
  <c r="D234" i="53245"/>
  <c r="D233" i="53245"/>
  <c r="D232" i="53245"/>
  <c r="D231" i="53245"/>
  <c r="D230" i="53245"/>
  <c r="D229" i="53245"/>
  <c r="D228" i="53245"/>
  <c r="D227" i="53245"/>
  <c r="D226" i="53245"/>
  <c r="D225" i="53245"/>
  <c r="D224" i="53245"/>
  <c r="D223" i="53245"/>
  <c r="D222" i="53245"/>
  <c r="D221" i="53245"/>
  <c r="D220" i="53245"/>
  <c r="D219" i="53245"/>
  <c r="D218" i="53245"/>
  <c r="D217" i="53245"/>
  <c r="D216" i="53245"/>
  <c r="D215" i="53245"/>
  <c r="D214" i="53245"/>
  <c r="D213" i="53245"/>
  <c r="D212" i="53245"/>
  <c r="D211" i="53245"/>
  <c r="D210" i="53245"/>
  <c r="D209" i="53245"/>
  <c r="D208" i="53245"/>
  <c r="D207" i="53245"/>
  <c r="D206" i="53245"/>
  <c r="D205" i="53245"/>
  <c r="D204" i="53245"/>
  <c r="D203" i="53245"/>
  <c r="D202" i="53245"/>
  <c r="D201" i="53245"/>
  <c r="D200" i="53245"/>
  <c r="D199" i="53245"/>
  <c r="D198" i="53245"/>
  <c r="D197" i="53245"/>
  <c r="D196" i="53245"/>
  <c r="D195" i="53245"/>
  <c r="D194" i="53245"/>
  <c r="D193" i="53245"/>
  <c r="D192" i="53245"/>
  <c r="D191" i="53245"/>
  <c r="D190" i="53245"/>
  <c r="D189" i="53245"/>
  <c r="D188" i="53245"/>
  <c r="D187" i="53245"/>
  <c r="D186" i="53245"/>
  <c r="D185" i="53245"/>
  <c r="D184" i="53245"/>
  <c r="D183" i="53245"/>
  <c r="D182" i="53245"/>
  <c r="D181" i="53245"/>
  <c r="D180" i="53245"/>
  <c r="D179" i="53245"/>
  <c r="D178" i="53245"/>
  <c r="D177" i="53245"/>
  <c r="D176" i="53245"/>
  <c r="D175" i="53245"/>
  <c r="D174" i="53245"/>
  <c r="D173" i="53245"/>
  <c r="D172" i="53245"/>
  <c r="D171" i="53245"/>
  <c r="D170" i="53245"/>
  <c r="D169" i="53245"/>
  <c r="D168" i="53245"/>
  <c r="D167" i="53245"/>
  <c r="D166" i="53245"/>
  <c r="D165" i="53245"/>
  <c r="D164" i="53245"/>
  <c r="D163" i="53245"/>
  <c r="D162" i="53245"/>
  <c r="D161" i="53245"/>
  <c r="D160" i="53245"/>
  <c r="D159" i="53245"/>
  <c r="D158" i="53245"/>
  <c r="D157" i="53245"/>
  <c r="D156" i="53245"/>
  <c r="D155" i="53245"/>
  <c r="D154" i="53245"/>
  <c r="D153" i="53245"/>
  <c r="D152" i="53245"/>
  <c r="D151" i="53245"/>
  <c r="D150" i="53245"/>
  <c r="D149" i="53245"/>
  <c r="D148" i="53245"/>
  <c r="D147" i="53245"/>
  <c r="D146" i="53245"/>
  <c r="D144" i="53245" s="1"/>
  <c r="D145" i="53245"/>
  <c r="AI144" i="53245"/>
  <c r="AH144" i="53245"/>
  <c r="AG144" i="53245"/>
  <c r="AF144" i="53245"/>
  <c r="AE144" i="53245"/>
  <c r="AD144" i="53245"/>
  <c r="AC144" i="53245"/>
  <c r="AB144" i="53245"/>
  <c r="AA144" i="53245"/>
  <c r="Z144" i="53245"/>
  <c r="Y144" i="53245"/>
  <c r="X144" i="53245"/>
  <c r="W144" i="53245"/>
  <c r="V144" i="53245"/>
  <c r="U144" i="53245"/>
  <c r="T144" i="53245"/>
  <c r="S144" i="53245"/>
  <c r="R144" i="53245"/>
  <c r="Q144" i="53245"/>
  <c r="P144" i="53245"/>
  <c r="O144" i="53245"/>
  <c r="N144" i="53245"/>
  <c r="M144" i="53245"/>
  <c r="L144" i="53245"/>
  <c r="K144" i="53245"/>
  <c r="J144" i="53245"/>
  <c r="I144" i="53245"/>
  <c r="H144" i="53245"/>
  <c r="G144" i="53245"/>
  <c r="F144" i="53245"/>
  <c r="E144" i="53245"/>
  <c r="D143" i="53245"/>
  <c r="D142" i="53245"/>
  <c r="D141" i="53245"/>
  <c r="D140" i="53245"/>
  <c r="D139" i="53245"/>
  <c r="D138" i="53245"/>
  <c r="D137" i="53245"/>
  <c r="D136" i="53245"/>
  <c r="D135" i="53245"/>
  <c r="D134" i="53245"/>
  <c r="D133" i="53245"/>
  <c r="D132" i="53245"/>
  <c r="D131" i="53245"/>
  <c r="D130" i="53245"/>
  <c r="D129" i="53245"/>
  <c r="D128" i="53245"/>
  <c r="D127" i="53245"/>
  <c r="D126" i="53245"/>
  <c r="D125" i="53245"/>
  <c r="D124" i="53245"/>
  <c r="D123" i="53245"/>
  <c r="D122" i="53245"/>
  <c r="D121" i="53245"/>
  <c r="D120" i="53245"/>
  <c r="AD119" i="53245"/>
  <c r="D119" i="53245"/>
  <c r="D118" i="53245"/>
  <c r="D117" i="53245"/>
  <c r="D116" i="53245"/>
  <c r="D115" i="53245"/>
  <c r="D114" i="53245"/>
  <c r="D113" i="53245"/>
  <c r="D112" i="53245"/>
  <c r="D111" i="53245"/>
  <c r="D110" i="53245"/>
  <c r="D109" i="53245"/>
  <c r="D108" i="53245"/>
  <c r="D107" i="53245"/>
  <c r="D106" i="53245"/>
  <c r="D105" i="53245"/>
  <c r="D104" i="53245"/>
  <c r="D103" i="53245"/>
  <c r="D102" i="53245"/>
  <c r="AI101" i="53245"/>
  <c r="AH101" i="53245"/>
  <c r="AG101" i="53245"/>
  <c r="AF101" i="53245"/>
  <c r="AE101" i="53245"/>
  <c r="AD101" i="53245"/>
  <c r="AC101" i="53245"/>
  <c r="AB101" i="53245"/>
  <c r="AA101" i="53245"/>
  <c r="Z101" i="53245"/>
  <c r="Y101" i="53245"/>
  <c r="X101" i="53245"/>
  <c r="W101" i="53245"/>
  <c r="V101" i="53245"/>
  <c r="U101" i="53245"/>
  <c r="T101" i="53245"/>
  <c r="S101" i="53245"/>
  <c r="R101" i="53245"/>
  <c r="Q101" i="53245"/>
  <c r="P101" i="53245"/>
  <c r="O101" i="53245"/>
  <c r="N101" i="53245"/>
  <c r="M101" i="53245"/>
  <c r="L101" i="53245"/>
  <c r="K101" i="53245"/>
  <c r="J101" i="53245"/>
  <c r="I101" i="53245"/>
  <c r="H101" i="53245"/>
  <c r="G101" i="53245"/>
  <c r="F101" i="53245"/>
  <c r="E101" i="53245"/>
  <c r="D101" i="53245"/>
  <c r="D100" i="53245"/>
  <c r="D99" i="53245"/>
  <c r="D98" i="53245"/>
  <c r="D97" i="53245"/>
  <c r="D96" i="53245"/>
  <c r="D95" i="53245"/>
  <c r="D94" i="53245"/>
  <c r="D93" i="53245"/>
  <c r="D92" i="53245"/>
  <c r="D91" i="53245"/>
  <c r="D90" i="53245"/>
  <c r="D89" i="53245"/>
  <c r="D88" i="53245"/>
  <c r="D87" i="53245"/>
  <c r="D86" i="53245"/>
  <c r="D85" i="53245"/>
  <c r="D84" i="53245"/>
  <c r="D83" i="53245"/>
  <c r="D82" i="53245"/>
  <c r="D81" i="53245"/>
  <c r="D80" i="53245"/>
  <c r="D79" i="53245"/>
  <c r="D78" i="53245"/>
  <c r="D77" i="53245"/>
  <c r="D76" i="53245"/>
  <c r="D75" i="53245"/>
  <c r="D74" i="53245"/>
  <c r="D73" i="53245"/>
  <c r="D72" i="53245"/>
  <c r="D71" i="53245"/>
  <c r="D70" i="53245"/>
  <c r="D69" i="53245"/>
  <c r="D68" i="53245"/>
  <c r="AI67" i="53245"/>
  <c r="D67" i="53245"/>
  <c r="D66" i="53245"/>
  <c r="D65" i="53245"/>
  <c r="D64" i="53245"/>
  <c r="AG63" i="53245"/>
  <c r="D63" i="53245"/>
  <c r="D62" i="53245"/>
  <c r="D61" i="53245"/>
  <c r="D60" i="53245"/>
  <c r="D59" i="53245"/>
  <c r="D58" i="53245"/>
  <c r="D57" i="53245"/>
  <c r="D56" i="53245"/>
  <c r="D55" i="53245"/>
  <c r="AI54" i="53245"/>
  <c r="AH54" i="53245"/>
  <c r="AG54" i="53245"/>
  <c r="AF54" i="53245"/>
  <c r="AE54" i="53245"/>
  <c r="AD54" i="53245"/>
  <c r="AC54" i="53245"/>
  <c r="AB54" i="53245"/>
  <c r="AA54" i="53245"/>
  <c r="Z54" i="53245"/>
  <c r="Y54" i="53245"/>
  <c r="X54" i="53245"/>
  <c r="W54" i="53245"/>
  <c r="V54" i="53245"/>
  <c r="U54" i="53245"/>
  <c r="T54" i="53245"/>
  <c r="S54" i="53245"/>
  <c r="R54" i="53245"/>
  <c r="Q54" i="53245"/>
  <c r="P54" i="53245"/>
  <c r="O54" i="53245"/>
  <c r="N54" i="53245"/>
  <c r="M54" i="53245"/>
  <c r="L54" i="53245"/>
  <c r="K54" i="53245"/>
  <c r="J54" i="53245"/>
  <c r="I54" i="53245"/>
  <c r="H54" i="53245"/>
  <c r="G54" i="53245"/>
  <c r="F54" i="53245"/>
  <c r="E54" i="53245"/>
  <c r="D54" i="53245"/>
  <c r="D53" i="53245"/>
  <c r="D52" i="53245"/>
  <c r="D51" i="53245"/>
  <c r="D50" i="53245"/>
  <c r="D49" i="53245"/>
  <c r="D48" i="53245"/>
  <c r="D47" i="53245"/>
  <c r="D46" i="53245"/>
  <c r="D45" i="53245"/>
  <c r="D44" i="53245"/>
  <c r="D43" i="53245"/>
  <c r="D42" i="53245"/>
  <c r="D41" i="53245"/>
  <c r="D40" i="53245"/>
  <c r="D39" i="53245"/>
  <c r="D38" i="53245"/>
  <c r="D37" i="53245"/>
  <c r="D36" i="53245"/>
  <c r="D35" i="53245"/>
  <c r="AF34" i="53245"/>
  <c r="D34" i="53245" s="1"/>
  <c r="D22" i="53245" s="1"/>
  <c r="D33" i="53245"/>
  <c r="D32" i="53245"/>
  <c r="D31" i="53245"/>
  <c r="D30" i="53245"/>
  <c r="D29" i="53245"/>
  <c r="D28" i="53245"/>
  <c r="D27" i="53245"/>
  <c r="D26" i="53245"/>
  <c r="D25" i="53245"/>
  <c r="D24" i="53245"/>
  <c r="D23" i="53245"/>
  <c r="AI22" i="53245"/>
  <c r="AH22" i="53245"/>
  <c r="AG22" i="53245"/>
  <c r="AE22" i="53245"/>
  <c r="AD22" i="53245"/>
  <c r="AC22" i="53245"/>
  <c r="AB22" i="53245"/>
  <c r="AA22" i="53245"/>
  <c r="Z22" i="53245"/>
  <c r="Y22" i="53245"/>
  <c r="X22" i="53245"/>
  <c r="W22" i="53245"/>
  <c r="V22" i="53245"/>
  <c r="U22" i="53245"/>
  <c r="T22" i="53245"/>
  <c r="S22" i="53245"/>
  <c r="R22" i="53245"/>
  <c r="Q22" i="53245"/>
  <c r="P22" i="53245"/>
  <c r="O22" i="53245"/>
  <c r="N22" i="53245"/>
  <c r="M22" i="53245"/>
  <c r="L22" i="53245"/>
  <c r="K22" i="53245"/>
  <c r="J22" i="53245"/>
  <c r="I22" i="53245"/>
  <c r="H22" i="53245"/>
  <c r="G22" i="53245"/>
  <c r="F22" i="53245"/>
  <c r="E22" i="53245"/>
  <c r="D21" i="53245"/>
  <c r="D20" i="53245"/>
  <c r="D19" i="53245"/>
  <c r="D18" i="53245"/>
  <c r="D17" i="53245"/>
  <c r="D16" i="53245"/>
  <c r="D15" i="53245"/>
  <c r="D14" i="53245"/>
  <c r="D13" i="53245"/>
  <c r="D12" i="53245"/>
  <c r="D11" i="53245"/>
  <c r="D10" i="53245"/>
  <c r="D9" i="53245"/>
  <c r="D8" i="53245"/>
  <c r="D7" i="53245"/>
  <c r="D6" i="53245"/>
  <c r="D5" i="53245"/>
  <c r="D3" i="53245" s="1"/>
  <c r="D4" i="53245"/>
  <c r="AI3" i="53245"/>
  <c r="AH3" i="53245"/>
  <c r="AG3" i="53245"/>
  <c r="AF3" i="53245"/>
  <c r="AE3" i="53245"/>
  <c r="AD3" i="53245"/>
  <c r="AC3" i="53245"/>
  <c r="AB3" i="53245"/>
  <c r="AA3" i="53245"/>
  <c r="Z3" i="53245"/>
  <c r="Y3" i="53245"/>
  <c r="X3" i="53245"/>
  <c r="W3" i="53245"/>
  <c r="V3" i="53245"/>
  <c r="U3" i="53245"/>
  <c r="T3" i="53245"/>
  <c r="S3" i="53245"/>
  <c r="R3" i="53245"/>
  <c r="Q3" i="53245"/>
  <c r="P3" i="53245"/>
  <c r="O3" i="53245"/>
  <c r="N3" i="53245"/>
  <c r="M3" i="53245"/>
  <c r="L3" i="53245"/>
  <c r="K3" i="53245"/>
  <c r="J3" i="53245"/>
  <c r="I3" i="53245"/>
  <c r="H3" i="53245"/>
  <c r="G3" i="53245"/>
  <c r="F3" i="53245"/>
  <c r="E3" i="53245"/>
  <c r="L578" i="53244"/>
  <c r="G578" i="53244"/>
  <c r="F578" i="53244"/>
  <c r="H578" i="53244" s="1"/>
  <c r="E578" i="53244"/>
  <c r="I577" i="53244"/>
  <c r="H577" i="53244"/>
  <c r="J577" i="53244" s="1"/>
  <c r="G577" i="53244"/>
  <c r="F577" i="53244"/>
  <c r="E577" i="53244"/>
  <c r="L577" i="53244" s="1"/>
  <c r="L576" i="53244"/>
  <c r="H576" i="53244"/>
  <c r="J576" i="53244" s="1"/>
  <c r="G576" i="53244"/>
  <c r="I576" i="53244" s="1"/>
  <c r="F576" i="53244"/>
  <c r="E576" i="53244"/>
  <c r="L575" i="53244"/>
  <c r="G575" i="53244"/>
  <c r="I575" i="53244" s="1"/>
  <c r="F575" i="53244"/>
  <c r="H575" i="53244" s="1"/>
  <c r="E575" i="53244"/>
  <c r="I574" i="53244"/>
  <c r="G574" i="53244"/>
  <c r="F574" i="53244"/>
  <c r="E574" i="53244"/>
  <c r="L574" i="53244" s="1"/>
  <c r="I573" i="53244"/>
  <c r="H573" i="53244"/>
  <c r="J573" i="53244" s="1"/>
  <c r="G573" i="53244"/>
  <c r="F573" i="53244"/>
  <c r="E573" i="53244"/>
  <c r="L573" i="53244" s="1"/>
  <c r="L572" i="53244"/>
  <c r="H572" i="53244"/>
  <c r="G572" i="53244"/>
  <c r="I572" i="53244" s="1"/>
  <c r="F572" i="53244"/>
  <c r="E572" i="53244"/>
  <c r="L571" i="53244"/>
  <c r="G571" i="53244"/>
  <c r="I571" i="53244" s="1"/>
  <c r="F571" i="53244"/>
  <c r="H571" i="53244" s="1"/>
  <c r="E571" i="53244"/>
  <c r="I570" i="53244"/>
  <c r="G570" i="53244"/>
  <c r="F570" i="53244"/>
  <c r="E570" i="53244"/>
  <c r="L570" i="53244" s="1"/>
  <c r="I569" i="53244"/>
  <c r="H569" i="53244"/>
  <c r="J569" i="53244" s="1"/>
  <c r="G569" i="53244"/>
  <c r="F569" i="53244"/>
  <c r="E569" i="53244"/>
  <c r="L569" i="53244" s="1"/>
  <c r="L568" i="53244"/>
  <c r="H568" i="53244"/>
  <c r="J568" i="53244" s="1"/>
  <c r="G568" i="53244"/>
  <c r="I568" i="53244" s="1"/>
  <c r="F568" i="53244"/>
  <c r="E568" i="53244"/>
  <c r="L567" i="53244"/>
  <c r="G567" i="53244"/>
  <c r="I567" i="53244" s="1"/>
  <c r="F567" i="53244"/>
  <c r="H567" i="53244" s="1"/>
  <c r="E567" i="53244"/>
  <c r="I566" i="53244"/>
  <c r="G566" i="53244"/>
  <c r="F566" i="53244"/>
  <c r="E566" i="53244"/>
  <c r="I565" i="53244"/>
  <c r="H565" i="53244"/>
  <c r="J565" i="53244" s="1"/>
  <c r="G565" i="53244"/>
  <c r="F565" i="53244"/>
  <c r="E565" i="53244"/>
  <c r="L565" i="53244" s="1"/>
  <c r="L564" i="53244"/>
  <c r="H564" i="53244"/>
  <c r="G564" i="53244"/>
  <c r="I564" i="53244" s="1"/>
  <c r="F564" i="53244"/>
  <c r="E564" i="53244"/>
  <c r="L563" i="53244"/>
  <c r="J563" i="53244"/>
  <c r="G563" i="53244"/>
  <c r="I563" i="53244" s="1"/>
  <c r="F563" i="53244"/>
  <c r="H563" i="53244" s="1"/>
  <c r="E563" i="53244"/>
  <c r="I562" i="53244"/>
  <c r="G562" i="53244"/>
  <c r="F562" i="53244"/>
  <c r="E562" i="53244"/>
  <c r="I561" i="53244"/>
  <c r="G561" i="53244"/>
  <c r="F561" i="53244"/>
  <c r="E561" i="53244"/>
  <c r="L561" i="53244" s="1"/>
  <c r="L560" i="53244"/>
  <c r="H560" i="53244"/>
  <c r="G560" i="53244"/>
  <c r="I560" i="53244" s="1"/>
  <c r="F560" i="53244"/>
  <c r="E560" i="53244"/>
  <c r="L559" i="53244"/>
  <c r="J559" i="53244"/>
  <c r="G559" i="53244"/>
  <c r="I559" i="53244" s="1"/>
  <c r="F559" i="53244"/>
  <c r="H559" i="53244" s="1"/>
  <c r="E559" i="53244"/>
  <c r="I558" i="53244"/>
  <c r="G558" i="53244"/>
  <c r="F558" i="53244"/>
  <c r="E558" i="53244"/>
  <c r="I557" i="53244"/>
  <c r="H557" i="53244"/>
  <c r="J557" i="53244" s="1"/>
  <c r="G557" i="53244"/>
  <c r="F557" i="53244"/>
  <c r="E557" i="53244"/>
  <c r="L557" i="53244" s="1"/>
  <c r="L556" i="53244"/>
  <c r="H556" i="53244"/>
  <c r="G556" i="53244"/>
  <c r="I556" i="53244" s="1"/>
  <c r="F556" i="53244"/>
  <c r="E556" i="53244"/>
  <c r="L555" i="53244"/>
  <c r="G555" i="53244"/>
  <c r="F555" i="53244"/>
  <c r="H555" i="53244" s="1"/>
  <c r="E555" i="53244"/>
  <c r="I554" i="53244"/>
  <c r="G554" i="53244"/>
  <c r="F554" i="53244"/>
  <c r="E554" i="53244"/>
  <c r="I553" i="53244"/>
  <c r="H553" i="53244"/>
  <c r="J553" i="53244" s="1"/>
  <c r="G553" i="53244"/>
  <c r="F553" i="53244"/>
  <c r="E553" i="53244"/>
  <c r="L553" i="53244" s="1"/>
  <c r="L552" i="53244"/>
  <c r="H552" i="53244"/>
  <c r="G552" i="53244"/>
  <c r="I552" i="53244" s="1"/>
  <c r="F552" i="53244"/>
  <c r="E552" i="53244"/>
  <c r="L551" i="53244"/>
  <c r="G551" i="53244"/>
  <c r="F551" i="53244"/>
  <c r="H551" i="53244" s="1"/>
  <c r="E551" i="53244"/>
  <c r="I550" i="53244"/>
  <c r="G550" i="53244"/>
  <c r="F550" i="53244"/>
  <c r="E550" i="53244"/>
  <c r="I549" i="53244"/>
  <c r="H549" i="53244"/>
  <c r="J549" i="53244" s="1"/>
  <c r="G549" i="53244"/>
  <c r="F549" i="53244"/>
  <c r="E549" i="53244"/>
  <c r="L549" i="53244" s="1"/>
  <c r="L548" i="53244"/>
  <c r="H548" i="53244"/>
  <c r="G548" i="53244"/>
  <c r="I548" i="53244" s="1"/>
  <c r="F548" i="53244"/>
  <c r="E548" i="53244"/>
  <c r="L547" i="53244"/>
  <c r="G547" i="53244"/>
  <c r="F547" i="53244"/>
  <c r="H547" i="53244" s="1"/>
  <c r="E547" i="53244"/>
  <c r="I546" i="53244"/>
  <c r="G546" i="53244"/>
  <c r="F546" i="53244"/>
  <c r="E546" i="53244"/>
  <c r="I545" i="53244"/>
  <c r="H545" i="53244"/>
  <c r="J545" i="53244" s="1"/>
  <c r="G545" i="53244"/>
  <c r="F545" i="53244"/>
  <c r="E545" i="53244"/>
  <c r="L545" i="53244" s="1"/>
  <c r="L544" i="53244"/>
  <c r="H544" i="53244"/>
  <c r="G544" i="53244"/>
  <c r="I544" i="53244" s="1"/>
  <c r="F544" i="53244"/>
  <c r="E544" i="53244"/>
  <c r="L543" i="53244"/>
  <c r="G543" i="53244"/>
  <c r="F543" i="53244"/>
  <c r="H543" i="53244" s="1"/>
  <c r="E543" i="53244"/>
  <c r="I542" i="53244"/>
  <c r="G542" i="53244"/>
  <c r="F542" i="53244"/>
  <c r="E542" i="53244"/>
  <c r="I541" i="53244"/>
  <c r="H541" i="53244"/>
  <c r="J541" i="53244" s="1"/>
  <c r="G541" i="53244"/>
  <c r="F541" i="53244"/>
  <c r="E541" i="53244"/>
  <c r="L541" i="53244" s="1"/>
  <c r="L540" i="53244"/>
  <c r="H540" i="53244"/>
  <c r="G540" i="53244"/>
  <c r="I540" i="53244" s="1"/>
  <c r="F540" i="53244"/>
  <c r="E540" i="53244"/>
  <c r="L539" i="53244"/>
  <c r="G539" i="53244"/>
  <c r="F539" i="53244"/>
  <c r="H539" i="53244" s="1"/>
  <c r="E539" i="53244"/>
  <c r="I538" i="53244"/>
  <c r="G538" i="53244"/>
  <c r="F538" i="53244"/>
  <c r="E538" i="53244"/>
  <c r="M537" i="53244"/>
  <c r="K537" i="53244"/>
  <c r="D537" i="53244"/>
  <c r="L536" i="53244"/>
  <c r="G536" i="53244"/>
  <c r="F536" i="53244"/>
  <c r="H536" i="53244" s="1"/>
  <c r="E536" i="53244"/>
  <c r="I535" i="53244"/>
  <c r="G535" i="53244"/>
  <c r="F535" i="53244"/>
  <c r="E535" i="53244"/>
  <c r="I534" i="53244"/>
  <c r="H534" i="53244"/>
  <c r="J534" i="53244" s="1"/>
  <c r="G534" i="53244"/>
  <c r="F534" i="53244"/>
  <c r="E534" i="53244"/>
  <c r="L534" i="53244" s="1"/>
  <c r="L533" i="53244"/>
  <c r="H533" i="53244"/>
  <c r="G533" i="53244"/>
  <c r="I533" i="53244" s="1"/>
  <c r="F533" i="53244"/>
  <c r="E533" i="53244"/>
  <c r="L532" i="53244"/>
  <c r="G532" i="53244"/>
  <c r="F532" i="53244"/>
  <c r="H532" i="53244" s="1"/>
  <c r="E532" i="53244"/>
  <c r="I531" i="53244"/>
  <c r="G531" i="53244"/>
  <c r="F531" i="53244"/>
  <c r="E531" i="53244"/>
  <c r="M530" i="53244"/>
  <c r="G530" i="53244"/>
  <c r="F530" i="53244"/>
  <c r="I530" i="53244" s="1"/>
  <c r="E530" i="53244"/>
  <c r="L530" i="53244" s="1"/>
  <c r="D530" i="53244"/>
  <c r="I529" i="53244"/>
  <c r="G529" i="53244"/>
  <c r="F529" i="53244"/>
  <c r="E529" i="53244"/>
  <c r="I528" i="53244"/>
  <c r="H528" i="53244"/>
  <c r="J528" i="53244" s="1"/>
  <c r="G528" i="53244"/>
  <c r="F528" i="53244"/>
  <c r="E528" i="53244"/>
  <c r="L528" i="53244" s="1"/>
  <c r="L527" i="53244"/>
  <c r="H527" i="53244"/>
  <c r="G527" i="53244"/>
  <c r="I527" i="53244" s="1"/>
  <c r="F527" i="53244"/>
  <c r="E527" i="53244"/>
  <c r="L526" i="53244"/>
  <c r="G526" i="53244"/>
  <c r="F526" i="53244"/>
  <c r="H526" i="53244" s="1"/>
  <c r="E526" i="53244"/>
  <c r="I525" i="53244"/>
  <c r="G525" i="53244"/>
  <c r="F525" i="53244"/>
  <c r="E525" i="53244"/>
  <c r="I524" i="53244"/>
  <c r="H524" i="53244"/>
  <c r="J524" i="53244" s="1"/>
  <c r="G524" i="53244"/>
  <c r="F524" i="53244"/>
  <c r="E524" i="53244"/>
  <c r="L524" i="53244" s="1"/>
  <c r="L523" i="53244"/>
  <c r="H523" i="53244"/>
  <c r="G523" i="53244"/>
  <c r="I523" i="53244" s="1"/>
  <c r="F523" i="53244"/>
  <c r="E523" i="53244"/>
  <c r="L522" i="53244"/>
  <c r="G522" i="53244"/>
  <c r="F522" i="53244"/>
  <c r="H522" i="53244" s="1"/>
  <c r="E522" i="53244"/>
  <c r="G521" i="53244"/>
  <c r="I521" i="53244" s="1"/>
  <c r="F521" i="53244"/>
  <c r="E521" i="53244"/>
  <c r="I520" i="53244"/>
  <c r="G520" i="53244"/>
  <c r="F520" i="53244"/>
  <c r="E520" i="53244"/>
  <c r="L520" i="53244" s="1"/>
  <c r="H519" i="53244"/>
  <c r="G519" i="53244"/>
  <c r="I519" i="53244" s="1"/>
  <c r="F519" i="53244"/>
  <c r="E519" i="53244"/>
  <c r="L519" i="53244" s="1"/>
  <c r="L518" i="53244"/>
  <c r="G518" i="53244"/>
  <c r="F518" i="53244"/>
  <c r="H518" i="53244" s="1"/>
  <c r="E518" i="53244"/>
  <c r="G517" i="53244"/>
  <c r="I517" i="53244" s="1"/>
  <c r="F517" i="53244"/>
  <c r="E517" i="53244"/>
  <c r="H517" i="53244" s="1"/>
  <c r="I516" i="53244"/>
  <c r="G516" i="53244"/>
  <c r="F516" i="53244"/>
  <c r="E516" i="53244"/>
  <c r="L516" i="53244" s="1"/>
  <c r="H515" i="53244"/>
  <c r="G515" i="53244"/>
  <c r="I515" i="53244" s="1"/>
  <c r="F515" i="53244"/>
  <c r="E515" i="53244"/>
  <c r="L515" i="53244" s="1"/>
  <c r="L514" i="53244"/>
  <c r="G514" i="53244"/>
  <c r="F514" i="53244"/>
  <c r="H514" i="53244" s="1"/>
  <c r="E514" i="53244"/>
  <c r="G513" i="53244"/>
  <c r="I513" i="53244" s="1"/>
  <c r="F513" i="53244"/>
  <c r="E513" i="53244"/>
  <c r="H513" i="53244" s="1"/>
  <c r="J513" i="53244" s="1"/>
  <c r="I512" i="53244"/>
  <c r="G512" i="53244"/>
  <c r="F512" i="53244"/>
  <c r="E512" i="53244"/>
  <c r="L512" i="53244" s="1"/>
  <c r="H511" i="53244"/>
  <c r="G511" i="53244"/>
  <c r="I511" i="53244" s="1"/>
  <c r="F511" i="53244"/>
  <c r="E511" i="53244"/>
  <c r="L511" i="53244" s="1"/>
  <c r="L510" i="53244"/>
  <c r="G510" i="53244"/>
  <c r="F510" i="53244"/>
  <c r="H510" i="53244" s="1"/>
  <c r="E510" i="53244"/>
  <c r="G509" i="53244"/>
  <c r="I509" i="53244" s="1"/>
  <c r="F509" i="53244"/>
  <c r="E509" i="53244"/>
  <c r="H509" i="53244" s="1"/>
  <c r="J509" i="53244" s="1"/>
  <c r="I508" i="53244"/>
  <c r="G508" i="53244"/>
  <c r="F508" i="53244"/>
  <c r="E508" i="53244"/>
  <c r="L508" i="53244" s="1"/>
  <c r="H507" i="53244"/>
  <c r="G507" i="53244"/>
  <c r="I507" i="53244" s="1"/>
  <c r="F507" i="53244"/>
  <c r="E507" i="53244"/>
  <c r="L507" i="53244" s="1"/>
  <c r="L506" i="53244"/>
  <c r="G506" i="53244"/>
  <c r="F506" i="53244"/>
  <c r="H506" i="53244" s="1"/>
  <c r="E506" i="53244"/>
  <c r="G505" i="53244"/>
  <c r="I505" i="53244" s="1"/>
  <c r="F505" i="53244"/>
  <c r="E505" i="53244"/>
  <c r="H505" i="53244" s="1"/>
  <c r="I504" i="53244"/>
  <c r="G504" i="53244"/>
  <c r="F504" i="53244"/>
  <c r="E504" i="53244"/>
  <c r="L504" i="53244" s="1"/>
  <c r="H503" i="53244"/>
  <c r="G503" i="53244"/>
  <c r="I503" i="53244" s="1"/>
  <c r="F503" i="53244"/>
  <c r="E503" i="53244"/>
  <c r="L503" i="53244" s="1"/>
  <c r="L502" i="53244"/>
  <c r="G502" i="53244"/>
  <c r="F502" i="53244"/>
  <c r="H502" i="53244" s="1"/>
  <c r="E502" i="53244"/>
  <c r="G501" i="53244"/>
  <c r="I501" i="53244" s="1"/>
  <c r="F501" i="53244"/>
  <c r="E501" i="53244"/>
  <c r="H501" i="53244" s="1"/>
  <c r="I500" i="53244"/>
  <c r="G500" i="53244"/>
  <c r="F500" i="53244"/>
  <c r="E500" i="53244"/>
  <c r="L500" i="53244" s="1"/>
  <c r="M499" i="53244"/>
  <c r="I499" i="53244"/>
  <c r="G499" i="53244"/>
  <c r="F499" i="53244"/>
  <c r="E499" i="53244"/>
  <c r="D499" i="53244"/>
  <c r="L499" i="53244" s="1"/>
  <c r="I498" i="53244"/>
  <c r="H498" i="53244"/>
  <c r="J498" i="53244" s="1"/>
  <c r="G498" i="53244"/>
  <c r="F498" i="53244"/>
  <c r="E498" i="53244"/>
  <c r="L498" i="53244" s="1"/>
  <c r="I497" i="53244"/>
  <c r="G497" i="53244"/>
  <c r="F497" i="53244"/>
  <c r="E497" i="53244"/>
  <c r="L497" i="53244" s="1"/>
  <c r="M496" i="53244"/>
  <c r="K496" i="53244"/>
  <c r="F496" i="53244"/>
  <c r="E496" i="53244"/>
  <c r="I495" i="53244"/>
  <c r="H495" i="53244"/>
  <c r="J495" i="53244" s="1"/>
  <c r="G495" i="53244"/>
  <c r="F495" i="53244"/>
  <c r="E495" i="53244"/>
  <c r="L495" i="53244" s="1"/>
  <c r="L494" i="53244"/>
  <c r="H494" i="53244"/>
  <c r="G494" i="53244"/>
  <c r="I494" i="53244" s="1"/>
  <c r="F494" i="53244"/>
  <c r="E494" i="53244"/>
  <c r="L493" i="53244"/>
  <c r="H493" i="53244"/>
  <c r="G493" i="53244"/>
  <c r="F493" i="53244"/>
  <c r="E493" i="53244"/>
  <c r="L492" i="53244"/>
  <c r="G492" i="53244"/>
  <c r="I492" i="53244" s="1"/>
  <c r="F492" i="53244"/>
  <c r="E492" i="53244"/>
  <c r="I491" i="53244"/>
  <c r="H491" i="53244"/>
  <c r="J491" i="53244" s="1"/>
  <c r="G491" i="53244"/>
  <c r="F491" i="53244"/>
  <c r="E491" i="53244"/>
  <c r="L491" i="53244" s="1"/>
  <c r="L490" i="53244"/>
  <c r="H490" i="53244"/>
  <c r="G490" i="53244"/>
  <c r="I490" i="53244" s="1"/>
  <c r="F490" i="53244"/>
  <c r="E490" i="53244"/>
  <c r="L489" i="53244"/>
  <c r="H489" i="53244"/>
  <c r="G489" i="53244"/>
  <c r="F489" i="53244"/>
  <c r="E489" i="53244"/>
  <c r="L488" i="53244"/>
  <c r="G488" i="53244"/>
  <c r="I488" i="53244" s="1"/>
  <c r="F488" i="53244"/>
  <c r="E488" i="53244"/>
  <c r="I487" i="53244"/>
  <c r="H487" i="53244"/>
  <c r="J487" i="53244" s="1"/>
  <c r="G487" i="53244"/>
  <c r="F487" i="53244"/>
  <c r="E487" i="53244"/>
  <c r="L487" i="53244" s="1"/>
  <c r="L486" i="53244"/>
  <c r="H486" i="53244"/>
  <c r="G486" i="53244"/>
  <c r="I486" i="53244" s="1"/>
  <c r="F486" i="53244"/>
  <c r="E486" i="53244"/>
  <c r="L485" i="53244"/>
  <c r="H485" i="53244"/>
  <c r="G485" i="53244"/>
  <c r="F485" i="53244"/>
  <c r="E485" i="53244"/>
  <c r="L484" i="53244"/>
  <c r="G484" i="53244"/>
  <c r="I484" i="53244" s="1"/>
  <c r="F484" i="53244"/>
  <c r="E484" i="53244"/>
  <c r="I483" i="53244"/>
  <c r="H483" i="53244"/>
  <c r="J483" i="53244" s="1"/>
  <c r="G483" i="53244"/>
  <c r="F483" i="53244"/>
  <c r="E483" i="53244"/>
  <c r="L483" i="53244" s="1"/>
  <c r="L482" i="53244"/>
  <c r="H482" i="53244"/>
  <c r="G482" i="53244"/>
  <c r="I482" i="53244" s="1"/>
  <c r="F482" i="53244"/>
  <c r="E482" i="53244"/>
  <c r="L481" i="53244"/>
  <c r="H481" i="53244"/>
  <c r="G481" i="53244"/>
  <c r="F481" i="53244"/>
  <c r="E481" i="53244"/>
  <c r="L480" i="53244"/>
  <c r="G480" i="53244"/>
  <c r="I480" i="53244" s="1"/>
  <c r="F480" i="53244"/>
  <c r="E480" i="53244"/>
  <c r="I479" i="53244"/>
  <c r="H479" i="53244"/>
  <c r="J479" i="53244" s="1"/>
  <c r="G479" i="53244"/>
  <c r="F479" i="53244"/>
  <c r="E479" i="53244"/>
  <c r="L479" i="53244" s="1"/>
  <c r="L478" i="53244"/>
  <c r="H478" i="53244"/>
  <c r="G478" i="53244"/>
  <c r="I478" i="53244" s="1"/>
  <c r="F478" i="53244"/>
  <c r="E478" i="53244"/>
  <c r="L477" i="53244"/>
  <c r="H477" i="53244"/>
  <c r="G477" i="53244"/>
  <c r="F477" i="53244"/>
  <c r="E477" i="53244"/>
  <c r="L476" i="53244"/>
  <c r="G476" i="53244"/>
  <c r="I476" i="53244" s="1"/>
  <c r="F476" i="53244"/>
  <c r="E476" i="53244"/>
  <c r="I475" i="53244"/>
  <c r="H475" i="53244"/>
  <c r="J475" i="53244" s="1"/>
  <c r="G475" i="53244"/>
  <c r="F475" i="53244"/>
  <c r="E475" i="53244"/>
  <c r="L475" i="53244" s="1"/>
  <c r="L474" i="53244"/>
  <c r="H474" i="53244"/>
  <c r="G474" i="53244"/>
  <c r="I474" i="53244" s="1"/>
  <c r="F474" i="53244"/>
  <c r="E474" i="53244"/>
  <c r="L473" i="53244"/>
  <c r="H473" i="53244"/>
  <c r="G473" i="53244"/>
  <c r="F473" i="53244"/>
  <c r="E473" i="53244"/>
  <c r="L472" i="53244"/>
  <c r="G472" i="53244"/>
  <c r="I472" i="53244" s="1"/>
  <c r="F472" i="53244"/>
  <c r="E472" i="53244"/>
  <c r="H471" i="53244"/>
  <c r="J471" i="53244" s="1"/>
  <c r="G471" i="53244"/>
  <c r="F471" i="53244"/>
  <c r="I471" i="53244" s="1"/>
  <c r="E471" i="53244"/>
  <c r="L471" i="53244" s="1"/>
  <c r="L470" i="53244"/>
  <c r="H470" i="53244"/>
  <c r="G470" i="53244"/>
  <c r="I470" i="53244" s="1"/>
  <c r="F470" i="53244"/>
  <c r="E470" i="53244"/>
  <c r="L469" i="53244"/>
  <c r="H469" i="53244"/>
  <c r="G469" i="53244"/>
  <c r="F469" i="53244"/>
  <c r="E469" i="53244"/>
  <c r="L468" i="53244"/>
  <c r="G468" i="53244"/>
  <c r="F468" i="53244"/>
  <c r="I468" i="53244" s="1"/>
  <c r="E468" i="53244"/>
  <c r="H467" i="53244"/>
  <c r="G467" i="53244"/>
  <c r="F467" i="53244"/>
  <c r="I467" i="53244" s="1"/>
  <c r="E467" i="53244"/>
  <c r="L467" i="53244" s="1"/>
  <c r="L466" i="53244"/>
  <c r="H466" i="53244"/>
  <c r="G466" i="53244"/>
  <c r="I466" i="53244" s="1"/>
  <c r="F466" i="53244"/>
  <c r="E466" i="53244"/>
  <c r="L465" i="53244"/>
  <c r="H465" i="53244"/>
  <c r="G465" i="53244"/>
  <c r="F465" i="53244"/>
  <c r="E465" i="53244"/>
  <c r="L464" i="53244"/>
  <c r="G464" i="53244"/>
  <c r="F464" i="53244"/>
  <c r="I464" i="53244" s="1"/>
  <c r="E464" i="53244"/>
  <c r="H463" i="53244"/>
  <c r="J463" i="53244" s="1"/>
  <c r="G463" i="53244"/>
  <c r="F463" i="53244"/>
  <c r="I463" i="53244" s="1"/>
  <c r="E463" i="53244"/>
  <c r="L463" i="53244" s="1"/>
  <c r="L462" i="53244"/>
  <c r="H462" i="53244"/>
  <c r="G462" i="53244"/>
  <c r="I462" i="53244" s="1"/>
  <c r="F462" i="53244"/>
  <c r="E462" i="53244"/>
  <c r="L461" i="53244"/>
  <c r="H461" i="53244"/>
  <c r="G461" i="53244"/>
  <c r="F461" i="53244"/>
  <c r="E461" i="53244"/>
  <c r="L460" i="53244"/>
  <c r="G460" i="53244"/>
  <c r="F460" i="53244"/>
  <c r="I460" i="53244" s="1"/>
  <c r="E460" i="53244"/>
  <c r="H459" i="53244"/>
  <c r="G459" i="53244"/>
  <c r="F459" i="53244"/>
  <c r="I459" i="53244" s="1"/>
  <c r="E459" i="53244"/>
  <c r="L459" i="53244" s="1"/>
  <c r="L458" i="53244"/>
  <c r="H458" i="53244"/>
  <c r="G458" i="53244"/>
  <c r="I458" i="53244" s="1"/>
  <c r="F458" i="53244"/>
  <c r="E458" i="53244"/>
  <c r="L457" i="53244"/>
  <c r="H457" i="53244"/>
  <c r="F457" i="53244"/>
  <c r="E457" i="53244"/>
  <c r="L456" i="53244"/>
  <c r="G456" i="53244"/>
  <c r="F456" i="53244"/>
  <c r="I456" i="53244" s="1"/>
  <c r="E456" i="53244"/>
  <c r="H455" i="53244"/>
  <c r="G455" i="53244"/>
  <c r="F455" i="53244"/>
  <c r="I455" i="53244" s="1"/>
  <c r="E455" i="53244"/>
  <c r="L455" i="53244" s="1"/>
  <c r="L454" i="53244"/>
  <c r="H454" i="53244"/>
  <c r="G454" i="53244"/>
  <c r="I454" i="53244" s="1"/>
  <c r="F454" i="53244"/>
  <c r="E454" i="53244"/>
  <c r="L453" i="53244"/>
  <c r="H453" i="53244"/>
  <c r="G453" i="53244"/>
  <c r="F453" i="53244"/>
  <c r="E453" i="53244"/>
  <c r="L452" i="53244"/>
  <c r="G452" i="53244"/>
  <c r="F452" i="53244"/>
  <c r="I452" i="53244" s="1"/>
  <c r="E452" i="53244"/>
  <c r="H451" i="53244"/>
  <c r="J451" i="53244" s="1"/>
  <c r="G451" i="53244"/>
  <c r="F451" i="53244"/>
  <c r="I451" i="53244" s="1"/>
  <c r="E451" i="53244"/>
  <c r="L451" i="53244" s="1"/>
  <c r="L450" i="53244"/>
  <c r="H450" i="53244"/>
  <c r="G450" i="53244"/>
  <c r="I450" i="53244" s="1"/>
  <c r="F450" i="53244"/>
  <c r="E450" i="53244"/>
  <c r="L449" i="53244"/>
  <c r="H449" i="53244"/>
  <c r="G449" i="53244"/>
  <c r="F449" i="53244"/>
  <c r="E449" i="53244"/>
  <c r="L448" i="53244"/>
  <c r="G448" i="53244"/>
  <c r="F448" i="53244"/>
  <c r="I448" i="53244" s="1"/>
  <c r="E448" i="53244"/>
  <c r="H447" i="53244"/>
  <c r="G447" i="53244"/>
  <c r="F447" i="53244"/>
  <c r="I447" i="53244" s="1"/>
  <c r="E447" i="53244"/>
  <c r="L447" i="53244" s="1"/>
  <c r="L446" i="53244"/>
  <c r="H446" i="53244"/>
  <c r="G446" i="53244"/>
  <c r="I446" i="53244" s="1"/>
  <c r="F446" i="53244"/>
  <c r="E446" i="53244"/>
  <c r="L445" i="53244"/>
  <c r="H445" i="53244"/>
  <c r="G445" i="53244"/>
  <c r="F445" i="53244"/>
  <c r="E445" i="53244"/>
  <c r="L444" i="53244"/>
  <c r="G444" i="53244"/>
  <c r="F444" i="53244"/>
  <c r="I444" i="53244" s="1"/>
  <c r="E444" i="53244"/>
  <c r="H443" i="53244"/>
  <c r="J443" i="53244" s="1"/>
  <c r="G443" i="53244"/>
  <c r="F443" i="53244"/>
  <c r="I443" i="53244" s="1"/>
  <c r="E443" i="53244"/>
  <c r="L443" i="53244" s="1"/>
  <c r="L442" i="53244"/>
  <c r="H442" i="53244"/>
  <c r="G442" i="53244"/>
  <c r="I442" i="53244" s="1"/>
  <c r="F442" i="53244"/>
  <c r="E442" i="53244"/>
  <c r="L441" i="53244"/>
  <c r="H441" i="53244"/>
  <c r="G441" i="53244"/>
  <c r="F441" i="53244"/>
  <c r="E441" i="53244"/>
  <c r="L440" i="53244"/>
  <c r="G440" i="53244"/>
  <c r="F440" i="53244"/>
  <c r="I440" i="53244" s="1"/>
  <c r="E440" i="53244"/>
  <c r="H439" i="53244"/>
  <c r="F439" i="53244"/>
  <c r="E439" i="53244"/>
  <c r="L439" i="53244" s="1"/>
  <c r="I438" i="53244"/>
  <c r="G438" i="53244"/>
  <c r="F438" i="53244"/>
  <c r="E438" i="53244"/>
  <c r="L438" i="53244" s="1"/>
  <c r="L437" i="53244"/>
  <c r="H437" i="53244"/>
  <c r="G437" i="53244"/>
  <c r="I437" i="53244" s="1"/>
  <c r="J437" i="53244" s="1"/>
  <c r="F437" i="53244"/>
  <c r="E437" i="53244"/>
  <c r="G436" i="53244"/>
  <c r="I436" i="53244" s="1"/>
  <c r="F436" i="53244"/>
  <c r="E436" i="53244"/>
  <c r="H436" i="53244" s="1"/>
  <c r="J436" i="53244" s="1"/>
  <c r="I435" i="53244"/>
  <c r="G435" i="53244"/>
  <c r="F435" i="53244"/>
  <c r="E435" i="53244"/>
  <c r="L435" i="53244" s="1"/>
  <c r="I434" i="53244"/>
  <c r="G434" i="53244"/>
  <c r="F434" i="53244"/>
  <c r="E434" i="53244"/>
  <c r="L434" i="53244" s="1"/>
  <c r="L433" i="53244"/>
  <c r="H433" i="53244"/>
  <c r="G433" i="53244"/>
  <c r="I433" i="53244" s="1"/>
  <c r="J433" i="53244" s="1"/>
  <c r="F433" i="53244"/>
  <c r="E433" i="53244"/>
  <c r="G432" i="53244"/>
  <c r="I432" i="53244" s="1"/>
  <c r="F432" i="53244"/>
  <c r="E432" i="53244"/>
  <c r="H432" i="53244" s="1"/>
  <c r="J432" i="53244" s="1"/>
  <c r="I431" i="53244"/>
  <c r="G431" i="53244"/>
  <c r="F431" i="53244"/>
  <c r="E431" i="53244"/>
  <c r="L431" i="53244" s="1"/>
  <c r="I430" i="53244"/>
  <c r="G430" i="53244"/>
  <c r="F430" i="53244"/>
  <c r="E430" i="53244"/>
  <c r="L430" i="53244" s="1"/>
  <c r="L429" i="53244"/>
  <c r="H429" i="53244"/>
  <c r="G429" i="53244"/>
  <c r="I429" i="53244" s="1"/>
  <c r="J429" i="53244" s="1"/>
  <c r="F429" i="53244"/>
  <c r="E429" i="53244"/>
  <c r="G428" i="53244"/>
  <c r="I428" i="53244" s="1"/>
  <c r="F428" i="53244"/>
  <c r="E428" i="53244"/>
  <c r="H428" i="53244" s="1"/>
  <c r="J428" i="53244" s="1"/>
  <c r="G427" i="53244"/>
  <c r="I427" i="53244" s="1"/>
  <c r="F427" i="53244"/>
  <c r="E427" i="53244"/>
  <c r="L427" i="53244" s="1"/>
  <c r="L426" i="53244"/>
  <c r="G426" i="53244"/>
  <c r="I426" i="53244" s="1"/>
  <c r="F426" i="53244"/>
  <c r="H426" i="53244" s="1"/>
  <c r="J426" i="53244" s="1"/>
  <c r="E426" i="53244"/>
  <c r="I425" i="53244"/>
  <c r="G425" i="53244"/>
  <c r="F425" i="53244"/>
  <c r="E425" i="53244"/>
  <c r="L425" i="53244" s="1"/>
  <c r="H424" i="53244"/>
  <c r="J424" i="53244" s="1"/>
  <c r="G424" i="53244"/>
  <c r="F424" i="53244"/>
  <c r="I424" i="53244" s="1"/>
  <c r="E424" i="53244"/>
  <c r="L424" i="53244" s="1"/>
  <c r="L423" i="53244"/>
  <c r="G423" i="53244"/>
  <c r="I423" i="53244" s="1"/>
  <c r="F423" i="53244"/>
  <c r="E423" i="53244"/>
  <c r="H423" i="53244" s="1"/>
  <c r="J423" i="53244" s="1"/>
  <c r="L422" i="53244"/>
  <c r="G422" i="53244"/>
  <c r="I422" i="53244" s="1"/>
  <c r="F422" i="53244"/>
  <c r="H422" i="53244" s="1"/>
  <c r="J422" i="53244" s="1"/>
  <c r="E422" i="53244"/>
  <c r="I421" i="53244"/>
  <c r="G421" i="53244"/>
  <c r="F421" i="53244"/>
  <c r="E421" i="53244"/>
  <c r="L421" i="53244" s="1"/>
  <c r="H420" i="53244"/>
  <c r="J420" i="53244" s="1"/>
  <c r="G420" i="53244"/>
  <c r="F420" i="53244"/>
  <c r="I420" i="53244" s="1"/>
  <c r="E420" i="53244"/>
  <c r="L420" i="53244" s="1"/>
  <c r="L419" i="53244"/>
  <c r="G419" i="53244"/>
  <c r="I419" i="53244" s="1"/>
  <c r="F419" i="53244"/>
  <c r="E419" i="53244"/>
  <c r="H419" i="53244" s="1"/>
  <c r="J419" i="53244" s="1"/>
  <c r="L418" i="53244"/>
  <c r="G418" i="53244"/>
  <c r="I418" i="53244" s="1"/>
  <c r="F418" i="53244"/>
  <c r="H418" i="53244" s="1"/>
  <c r="J418" i="53244" s="1"/>
  <c r="E418" i="53244"/>
  <c r="I417" i="53244"/>
  <c r="G417" i="53244"/>
  <c r="F417" i="53244"/>
  <c r="E417" i="53244"/>
  <c r="L417" i="53244" s="1"/>
  <c r="H416" i="53244"/>
  <c r="J416" i="53244" s="1"/>
  <c r="G416" i="53244"/>
  <c r="F416" i="53244"/>
  <c r="I416" i="53244" s="1"/>
  <c r="E416" i="53244"/>
  <c r="L416" i="53244" s="1"/>
  <c r="L415" i="53244"/>
  <c r="G415" i="53244"/>
  <c r="I415" i="53244" s="1"/>
  <c r="F415" i="53244"/>
  <c r="E415" i="53244"/>
  <c r="H415" i="53244" s="1"/>
  <c r="J415" i="53244" s="1"/>
  <c r="L414" i="53244"/>
  <c r="G414" i="53244"/>
  <c r="F414" i="53244"/>
  <c r="H414" i="53244" s="1"/>
  <c r="E414" i="53244"/>
  <c r="I413" i="53244"/>
  <c r="G413" i="53244"/>
  <c r="F413" i="53244"/>
  <c r="E413" i="53244"/>
  <c r="H412" i="53244"/>
  <c r="G412" i="53244"/>
  <c r="F412" i="53244"/>
  <c r="I412" i="53244" s="1"/>
  <c r="E412" i="53244"/>
  <c r="L412" i="53244" s="1"/>
  <c r="L411" i="53244"/>
  <c r="G411" i="53244"/>
  <c r="I411" i="53244" s="1"/>
  <c r="F411" i="53244"/>
  <c r="E411" i="53244"/>
  <c r="H411" i="53244" s="1"/>
  <c r="J411" i="53244" s="1"/>
  <c r="L410" i="53244"/>
  <c r="G410" i="53244"/>
  <c r="F410" i="53244"/>
  <c r="H410" i="53244" s="1"/>
  <c r="E410" i="53244"/>
  <c r="I409" i="53244"/>
  <c r="G409" i="53244"/>
  <c r="F409" i="53244"/>
  <c r="E409" i="53244"/>
  <c r="H408" i="53244"/>
  <c r="G408" i="53244"/>
  <c r="F408" i="53244"/>
  <c r="I408" i="53244" s="1"/>
  <c r="E408" i="53244"/>
  <c r="L408" i="53244" s="1"/>
  <c r="L407" i="53244"/>
  <c r="G407" i="53244"/>
  <c r="I407" i="53244" s="1"/>
  <c r="F407" i="53244"/>
  <c r="E407" i="53244"/>
  <c r="H407" i="53244" s="1"/>
  <c r="L406" i="53244"/>
  <c r="G406" i="53244"/>
  <c r="I406" i="53244" s="1"/>
  <c r="J406" i="53244" s="1"/>
  <c r="F406" i="53244"/>
  <c r="H406" i="53244" s="1"/>
  <c r="E406" i="53244"/>
  <c r="I405" i="53244"/>
  <c r="G405" i="53244"/>
  <c r="F405" i="53244"/>
  <c r="E405" i="53244"/>
  <c r="H404" i="53244"/>
  <c r="J404" i="53244" s="1"/>
  <c r="G404" i="53244"/>
  <c r="F404" i="53244"/>
  <c r="I404" i="53244" s="1"/>
  <c r="E404" i="53244"/>
  <c r="L404" i="53244" s="1"/>
  <c r="L403" i="53244"/>
  <c r="G403" i="53244"/>
  <c r="I403" i="53244" s="1"/>
  <c r="F403" i="53244"/>
  <c r="E403" i="53244"/>
  <c r="H403" i="53244" s="1"/>
  <c r="L402" i="53244"/>
  <c r="G402" i="53244"/>
  <c r="F402" i="53244"/>
  <c r="H402" i="53244" s="1"/>
  <c r="E402" i="53244"/>
  <c r="I401" i="53244"/>
  <c r="G401" i="53244"/>
  <c r="F401" i="53244"/>
  <c r="E401" i="53244"/>
  <c r="H400" i="53244"/>
  <c r="J400" i="53244" s="1"/>
  <c r="G400" i="53244"/>
  <c r="F400" i="53244"/>
  <c r="I400" i="53244" s="1"/>
  <c r="E400" i="53244"/>
  <c r="L400" i="53244" s="1"/>
  <c r="L399" i="53244"/>
  <c r="G399" i="53244"/>
  <c r="I399" i="53244" s="1"/>
  <c r="F399" i="53244"/>
  <c r="E399" i="53244"/>
  <c r="H399" i="53244" s="1"/>
  <c r="J399" i="53244" s="1"/>
  <c r="L398" i="53244"/>
  <c r="G398" i="53244"/>
  <c r="F398" i="53244"/>
  <c r="H398" i="53244" s="1"/>
  <c r="E398" i="53244"/>
  <c r="G397" i="53244"/>
  <c r="I397" i="53244" s="1"/>
  <c r="F397" i="53244"/>
  <c r="E397" i="53244"/>
  <c r="I396" i="53244"/>
  <c r="G396" i="53244"/>
  <c r="F396" i="53244"/>
  <c r="E396" i="53244"/>
  <c r="L396" i="53244" s="1"/>
  <c r="L395" i="53244"/>
  <c r="H395" i="53244"/>
  <c r="G395" i="53244"/>
  <c r="I395" i="53244" s="1"/>
  <c r="F395" i="53244"/>
  <c r="E395" i="53244"/>
  <c r="L394" i="53244"/>
  <c r="H394" i="53244"/>
  <c r="G394" i="53244"/>
  <c r="F394" i="53244"/>
  <c r="E394" i="53244"/>
  <c r="L393" i="53244"/>
  <c r="G393" i="53244"/>
  <c r="I393" i="53244" s="1"/>
  <c r="F393" i="53244"/>
  <c r="E393" i="53244"/>
  <c r="I392" i="53244"/>
  <c r="G392" i="53244"/>
  <c r="F392" i="53244"/>
  <c r="E392" i="53244"/>
  <c r="L392" i="53244" s="1"/>
  <c r="L391" i="53244"/>
  <c r="H391" i="53244"/>
  <c r="G391" i="53244"/>
  <c r="I391" i="53244" s="1"/>
  <c r="F391" i="53244"/>
  <c r="E391" i="53244"/>
  <c r="L390" i="53244"/>
  <c r="H390" i="53244"/>
  <c r="G390" i="53244"/>
  <c r="F390" i="53244"/>
  <c r="E390" i="53244"/>
  <c r="L389" i="53244"/>
  <c r="G389" i="53244"/>
  <c r="I389" i="53244" s="1"/>
  <c r="F389" i="53244"/>
  <c r="E389" i="53244"/>
  <c r="I388" i="53244"/>
  <c r="G388" i="53244"/>
  <c r="F388" i="53244"/>
  <c r="E388" i="53244"/>
  <c r="L388" i="53244" s="1"/>
  <c r="L387" i="53244"/>
  <c r="H387" i="53244"/>
  <c r="G387" i="53244"/>
  <c r="I387" i="53244" s="1"/>
  <c r="F387" i="53244"/>
  <c r="E387" i="53244"/>
  <c r="L386" i="53244"/>
  <c r="H386" i="53244"/>
  <c r="G386" i="53244"/>
  <c r="F386" i="53244"/>
  <c r="E386" i="53244"/>
  <c r="L385" i="53244"/>
  <c r="G385" i="53244"/>
  <c r="I385" i="53244" s="1"/>
  <c r="F385" i="53244"/>
  <c r="E385" i="53244"/>
  <c r="H384" i="53244"/>
  <c r="F384" i="53244"/>
  <c r="E384" i="53244"/>
  <c r="L384" i="53244" s="1"/>
  <c r="L383" i="53244"/>
  <c r="I383" i="53244"/>
  <c r="G383" i="53244"/>
  <c r="F383" i="53244"/>
  <c r="E383" i="53244"/>
  <c r="H383" i="53244" s="1"/>
  <c r="J383" i="53244" s="1"/>
  <c r="L382" i="53244"/>
  <c r="H382" i="53244"/>
  <c r="J382" i="53244" s="1"/>
  <c r="G382" i="53244"/>
  <c r="I382" i="53244" s="1"/>
  <c r="F382" i="53244"/>
  <c r="E382" i="53244"/>
  <c r="L381" i="53244"/>
  <c r="G381" i="53244"/>
  <c r="I381" i="53244" s="1"/>
  <c r="F381" i="53244"/>
  <c r="E381" i="53244"/>
  <c r="I380" i="53244"/>
  <c r="H380" i="53244"/>
  <c r="J380" i="53244" s="1"/>
  <c r="G380" i="53244"/>
  <c r="F380" i="53244"/>
  <c r="E380" i="53244"/>
  <c r="L380" i="53244" s="1"/>
  <c r="L379" i="53244"/>
  <c r="I379" i="53244"/>
  <c r="G379" i="53244"/>
  <c r="F379" i="53244"/>
  <c r="E379" i="53244"/>
  <c r="H379" i="53244" s="1"/>
  <c r="J379" i="53244" s="1"/>
  <c r="L378" i="53244"/>
  <c r="H378" i="53244"/>
  <c r="J378" i="53244" s="1"/>
  <c r="G378" i="53244"/>
  <c r="I378" i="53244" s="1"/>
  <c r="F378" i="53244"/>
  <c r="E378" i="53244"/>
  <c r="L377" i="53244"/>
  <c r="G377" i="53244"/>
  <c r="I377" i="53244" s="1"/>
  <c r="F377" i="53244"/>
  <c r="E377" i="53244"/>
  <c r="I376" i="53244"/>
  <c r="H376" i="53244"/>
  <c r="J376" i="53244" s="1"/>
  <c r="G376" i="53244"/>
  <c r="F376" i="53244"/>
  <c r="E376" i="53244"/>
  <c r="L376" i="53244" s="1"/>
  <c r="L375" i="53244"/>
  <c r="I375" i="53244"/>
  <c r="G375" i="53244"/>
  <c r="F375" i="53244"/>
  <c r="E375" i="53244"/>
  <c r="H375" i="53244" s="1"/>
  <c r="J375" i="53244" s="1"/>
  <c r="L374" i="53244"/>
  <c r="H374" i="53244"/>
  <c r="J374" i="53244" s="1"/>
  <c r="G374" i="53244"/>
  <c r="I374" i="53244" s="1"/>
  <c r="F374" i="53244"/>
  <c r="E374" i="53244"/>
  <c r="L373" i="53244"/>
  <c r="G373" i="53244"/>
  <c r="I373" i="53244" s="1"/>
  <c r="F373" i="53244"/>
  <c r="E373" i="53244"/>
  <c r="I372" i="53244"/>
  <c r="H372" i="53244"/>
  <c r="J372" i="53244" s="1"/>
  <c r="G372" i="53244"/>
  <c r="F372" i="53244"/>
  <c r="E372" i="53244"/>
  <c r="L372" i="53244" s="1"/>
  <c r="L371" i="53244"/>
  <c r="I371" i="53244"/>
  <c r="G371" i="53244"/>
  <c r="F371" i="53244"/>
  <c r="E371" i="53244"/>
  <c r="H371" i="53244" s="1"/>
  <c r="J371" i="53244" s="1"/>
  <c r="L370" i="53244"/>
  <c r="H370" i="53244"/>
  <c r="J370" i="53244" s="1"/>
  <c r="G370" i="53244"/>
  <c r="I370" i="53244" s="1"/>
  <c r="F370" i="53244"/>
  <c r="E370" i="53244"/>
  <c r="L369" i="53244"/>
  <c r="G369" i="53244"/>
  <c r="I369" i="53244" s="1"/>
  <c r="F369" i="53244"/>
  <c r="E369" i="53244"/>
  <c r="I368" i="53244"/>
  <c r="H368" i="53244"/>
  <c r="J368" i="53244" s="1"/>
  <c r="G368" i="53244"/>
  <c r="F368" i="53244"/>
  <c r="E368" i="53244"/>
  <c r="L368" i="53244" s="1"/>
  <c r="L367" i="53244"/>
  <c r="I367" i="53244"/>
  <c r="G367" i="53244"/>
  <c r="F367" i="53244"/>
  <c r="E367" i="53244"/>
  <c r="H367" i="53244" s="1"/>
  <c r="J367" i="53244" s="1"/>
  <c r="L366" i="53244"/>
  <c r="H366" i="53244"/>
  <c r="J366" i="53244" s="1"/>
  <c r="G366" i="53244"/>
  <c r="I366" i="53244" s="1"/>
  <c r="F366" i="53244"/>
  <c r="E366" i="53244"/>
  <c r="L365" i="53244"/>
  <c r="G365" i="53244"/>
  <c r="I365" i="53244" s="1"/>
  <c r="F365" i="53244"/>
  <c r="E365" i="53244"/>
  <c r="I364" i="53244"/>
  <c r="H364" i="53244"/>
  <c r="J364" i="53244" s="1"/>
  <c r="G364" i="53244"/>
  <c r="F364" i="53244"/>
  <c r="E364" i="53244"/>
  <c r="L364" i="53244" s="1"/>
  <c r="L363" i="53244"/>
  <c r="I363" i="53244"/>
  <c r="G363" i="53244"/>
  <c r="F363" i="53244"/>
  <c r="E363" i="53244"/>
  <c r="H363" i="53244" s="1"/>
  <c r="J363" i="53244" s="1"/>
  <c r="L362" i="53244"/>
  <c r="H362" i="53244"/>
  <c r="J362" i="53244" s="1"/>
  <c r="G362" i="53244"/>
  <c r="I362" i="53244" s="1"/>
  <c r="F362" i="53244"/>
  <c r="E362" i="53244"/>
  <c r="L361" i="53244"/>
  <c r="G361" i="53244"/>
  <c r="I361" i="53244" s="1"/>
  <c r="F361" i="53244"/>
  <c r="E361" i="53244"/>
  <c r="I360" i="53244"/>
  <c r="H360" i="53244"/>
  <c r="J360" i="53244" s="1"/>
  <c r="G360" i="53244"/>
  <c r="F360" i="53244"/>
  <c r="E360" i="53244"/>
  <c r="L360" i="53244" s="1"/>
  <c r="L359" i="53244"/>
  <c r="I359" i="53244"/>
  <c r="G359" i="53244"/>
  <c r="F359" i="53244"/>
  <c r="E359" i="53244"/>
  <c r="H359" i="53244" s="1"/>
  <c r="J359" i="53244" s="1"/>
  <c r="L358" i="53244"/>
  <c r="H358" i="53244"/>
  <c r="J358" i="53244" s="1"/>
  <c r="G358" i="53244"/>
  <c r="I358" i="53244" s="1"/>
  <c r="F358" i="53244"/>
  <c r="E358" i="53244"/>
  <c r="L357" i="53244"/>
  <c r="G357" i="53244"/>
  <c r="I357" i="53244" s="1"/>
  <c r="F357" i="53244"/>
  <c r="E357" i="53244"/>
  <c r="I356" i="53244"/>
  <c r="H356" i="53244"/>
  <c r="J356" i="53244" s="1"/>
  <c r="G356" i="53244"/>
  <c r="F356" i="53244"/>
  <c r="E356" i="53244"/>
  <c r="L356" i="53244" s="1"/>
  <c r="L355" i="53244"/>
  <c r="I355" i="53244"/>
  <c r="G355" i="53244"/>
  <c r="F355" i="53244"/>
  <c r="E355" i="53244"/>
  <c r="H355" i="53244" s="1"/>
  <c r="J355" i="53244" s="1"/>
  <c r="L354" i="53244"/>
  <c r="H354" i="53244"/>
  <c r="J354" i="53244" s="1"/>
  <c r="G354" i="53244"/>
  <c r="I354" i="53244" s="1"/>
  <c r="F354" i="53244"/>
  <c r="E354" i="53244"/>
  <c r="L353" i="53244"/>
  <c r="G353" i="53244"/>
  <c r="I353" i="53244" s="1"/>
  <c r="F353" i="53244"/>
  <c r="E353" i="53244"/>
  <c r="I352" i="53244"/>
  <c r="H352" i="53244"/>
  <c r="J352" i="53244" s="1"/>
  <c r="G352" i="53244"/>
  <c r="F352" i="53244"/>
  <c r="E352" i="53244"/>
  <c r="L352" i="53244" s="1"/>
  <c r="L351" i="53244"/>
  <c r="I351" i="53244"/>
  <c r="G351" i="53244"/>
  <c r="F351" i="53244"/>
  <c r="E351" i="53244"/>
  <c r="H351" i="53244" s="1"/>
  <c r="J351" i="53244" s="1"/>
  <c r="L350" i="53244"/>
  <c r="H350" i="53244"/>
  <c r="J350" i="53244" s="1"/>
  <c r="G350" i="53244"/>
  <c r="I350" i="53244" s="1"/>
  <c r="F350" i="53244"/>
  <c r="E350" i="53244"/>
  <c r="L349" i="53244"/>
  <c r="F349" i="53244"/>
  <c r="E349" i="53244"/>
  <c r="I348" i="53244"/>
  <c r="H348" i="53244"/>
  <c r="J348" i="53244" s="1"/>
  <c r="G348" i="53244"/>
  <c r="F348" i="53244"/>
  <c r="E348" i="53244"/>
  <c r="L348" i="53244" s="1"/>
  <c r="L347" i="53244"/>
  <c r="I347" i="53244"/>
  <c r="G347" i="53244"/>
  <c r="F347" i="53244"/>
  <c r="E347" i="53244"/>
  <c r="H347" i="53244" s="1"/>
  <c r="J347" i="53244" s="1"/>
  <c r="L346" i="53244"/>
  <c r="H346" i="53244"/>
  <c r="F346" i="53244"/>
  <c r="E346" i="53244"/>
  <c r="L345" i="53244"/>
  <c r="G345" i="53244"/>
  <c r="I345" i="53244" s="1"/>
  <c r="F345" i="53244"/>
  <c r="E345" i="53244"/>
  <c r="I344" i="53244"/>
  <c r="H344" i="53244"/>
  <c r="J344" i="53244" s="1"/>
  <c r="G344" i="53244"/>
  <c r="F344" i="53244"/>
  <c r="E344" i="53244"/>
  <c r="L344" i="53244" s="1"/>
  <c r="L343" i="53244"/>
  <c r="F343" i="53244"/>
  <c r="E343" i="53244"/>
  <c r="H343" i="53244" s="1"/>
  <c r="L342" i="53244"/>
  <c r="H342" i="53244"/>
  <c r="J342" i="53244" s="1"/>
  <c r="G342" i="53244"/>
  <c r="I342" i="53244" s="1"/>
  <c r="F342" i="53244"/>
  <c r="E342" i="53244"/>
  <c r="L341" i="53244"/>
  <c r="G341" i="53244"/>
  <c r="I341" i="53244" s="1"/>
  <c r="F341" i="53244"/>
  <c r="E341" i="53244"/>
  <c r="I340" i="53244"/>
  <c r="H340" i="53244"/>
  <c r="J340" i="53244" s="1"/>
  <c r="G340" i="53244"/>
  <c r="F340" i="53244"/>
  <c r="E340" i="53244"/>
  <c r="L340" i="53244" s="1"/>
  <c r="L339" i="53244"/>
  <c r="I339" i="53244"/>
  <c r="G339" i="53244"/>
  <c r="F339" i="53244"/>
  <c r="E339" i="53244"/>
  <c r="H339" i="53244" s="1"/>
  <c r="L338" i="53244"/>
  <c r="H338" i="53244"/>
  <c r="J338" i="53244" s="1"/>
  <c r="G338" i="53244"/>
  <c r="I338" i="53244" s="1"/>
  <c r="F338" i="53244"/>
  <c r="E338" i="53244"/>
  <c r="M337" i="53244"/>
  <c r="K337" i="53244"/>
  <c r="D337" i="53244"/>
  <c r="L336" i="53244"/>
  <c r="I336" i="53244"/>
  <c r="G336" i="53244"/>
  <c r="F336" i="53244"/>
  <c r="E336" i="53244"/>
  <c r="H336" i="53244" s="1"/>
  <c r="J336" i="53244" s="1"/>
  <c r="L335" i="53244"/>
  <c r="H335" i="53244"/>
  <c r="F335" i="53244"/>
  <c r="E335" i="53244"/>
  <c r="L334" i="53244"/>
  <c r="G334" i="53244"/>
  <c r="I334" i="53244" s="1"/>
  <c r="F334" i="53244"/>
  <c r="E334" i="53244"/>
  <c r="I333" i="53244"/>
  <c r="H333" i="53244"/>
  <c r="J333" i="53244" s="1"/>
  <c r="G333" i="53244"/>
  <c r="F333" i="53244"/>
  <c r="E333" i="53244"/>
  <c r="L333" i="53244" s="1"/>
  <c r="L332" i="53244"/>
  <c r="I332" i="53244"/>
  <c r="G332" i="53244"/>
  <c r="F332" i="53244"/>
  <c r="E332" i="53244"/>
  <c r="H332" i="53244" s="1"/>
  <c r="J332" i="53244" s="1"/>
  <c r="L331" i="53244"/>
  <c r="H331" i="53244"/>
  <c r="J331" i="53244" s="1"/>
  <c r="G331" i="53244"/>
  <c r="I331" i="53244" s="1"/>
  <c r="F331" i="53244"/>
  <c r="E331" i="53244"/>
  <c r="L330" i="53244"/>
  <c r="G330" i="53244"/>
  <c r="I330" i="53244" s="1"/>
  <c r="F330" i="53244"/>
  <c r="E330" i="53244"/>
  <c r="I329" i="53244"/>
  <c r="H329" i="53244"/>
  <c r="J329" i="53244" s="1"/>
  <c r="G329" i="53244"/>
  <c r="F329" i="53244"/>
  <c r="E329" i="53244"/>
  <c r="L329" i="53244" s="1"/>
  <c r="L328" i="53244"/>
  <c r="I328" i="53244"/>
  <c r="G328" i="53244"/>
  <c r="F328" i="53244"/>
  <c r="E328" i="53244"/>
  <c r="H328" i="53244" s="1"/>
  <c r="J328" i="53244" s="1"/>
  <c r="L327" i="53244"/>
  <c r="H327" i="53244"/>
  <c r="J327" i="53244" s="1"/>
  <c r="G327" i="53244"/>
  <c r="I327" i="53244" s="1"/>
  <c r="F327" i="53244"/>
  <c r="E327" i="53244"/>
  <c r="L326" i="53244"/>
  <c r="G326" i="53244"/>
  <c r="I326" i="53244" s="1"/>
  <c r="F326" i="53244"/>
  <c r="E326" i="53244"/>
  <c r="I325" i="53244"/>
  <c r="H325" i="53244"/>
  <c r="J325" i="53244" s="1"/>
  <c r="G325" i="53244"/>
  <c r="F325" i="53244"/>
  <c r="E325" i="53244"/>
  <c r="L325" i="53244" s="1"/>
  <c r="L324" i="53244"/>
  <c r="I324" i="53244"/>
  <c r="G324" i="53244"/>
  <c r="F324" i="53244"/>
  <c r="E324" i="53244"/>
  <c r="H324" i="53244" s="1"/>
  <c r="J324" i="53244" s="1"/>
  <c r="L323" i="53244"/>
  <c r="H323" i="53244"/>
  <c r="J323" i="53244" s="1"/>
  <c r="G323" i="53244"/>
  <c r="I323" i="53244" s="1"/>
  <c r="F323" i="53244"/>
  <c r="E323" i="53244"/>
  <c r="L322" i="53244"/>
  <c r="G322" i="53244"/>
  <c r="I322" i="53244" s="1"/>
  <c r="F322" i="53244"/>
  <c r="E322" i="53244"/>
  <c r="I321" i="53244"/>
  <c r="H321" i="53244"/>
  <c r="J321" i="53244" s="1"/>
  <c r="G321" i="53244"/>
  <c r="F321" i="53244"/>
  <c r="E321" i="53244"/>
  <c r="L321" i="53244" s="1"/>
  <c r="L320" i="53244"/>
  <c r="I320" i="53244"/>
  <c r="G320" i="53244"/>
  <c r="F320" i="53244"/>
  <c r="E320" i="53244"/>
  <c r="H320" i="53244" s="1"/>
  <c r="J320" i="53244" s="1"/>
  <c r="L319" i="53244"/>
  <c r="H319" i="53244"/>
  <c r="J319" i="53244" s="1"/>
  <c r="G319" i="53244"/>
  <c r="I319" i="53244" s="1"/>
  <c r="F319" i="53244"/>
  <c r="E319" i="53244"/>
  <c r="L318" i="53244"/>
  <c r="G318" i="53244"/>
  <c r="I318" i="53244" s="1"/>
  <c r="F318" i="53244"/>
  <c r="E318" i="53244"/>
  <c r="I317" i="53244"/>
  <c r="H317" i="53244"/>
  <c r="J317" i="53244" s="1"/>
  <c r="G317" i="53244"/>
  <c r="F317" i="53244"/>
  <c r="E317" i="53244"/>
  <c r="L317" i="53244" s="1"/>
  <c r="L316" i="53244"/>
  <c r="I316" i="53244"/>
  <c r="G316" i="53244"/>
  <c r="F316" i="53244"/>
  <c r="E316" i="53244"/>
  <c r="H316" i="53244" s="1"/>
  <c r="J316" i="53244" s="1"/>
  <c r="L315" i="53244"/>
  <c r="H315" i="53244"/>
  <c r="J315" i="53244" s="1"/>
  <c r="G315" i="53244"/>
  <c r="I315" i="53244" s="1"/>
  <c r="F315" i="53244"/>
  <c r="E315" i="53244"/>
  <c r="L314" i="53244"/>
  <c r="G314" i="53244"/>
  <c r="I314" i="53244" s="1"/>
  <c r="F314" i="53244"/>
  <c r="E314" i="53244"/>
  <c r="I313" i="53244"/>
  <c r="H313" i="53244"/>
  <c r="J313" i="53244" s="1"/>
  <c r="G313" i="53244"/>
  <c r="F313" i="53244"/>
  <c r="E313" i="53244"/>
  <c r="L313" i="53244" s="1"/>
  <c r="L312" i="53244"/>
  <c r="I312" i="53244"/>
  <c r="G312" i="53244"/>
  <c r="F312" i="53244"/>
  <c r="E312" i="53244"/>
  <c r="H312" i="53244" s="1"/>
  <c r="J312" i="53244" s="1"/>
  <c r="L311" i="53244"/>
  <c r="H311" i="53244"/>
  <c r="J311" i="53244" s="1"/>
  <c r="G311" i="53244"/>
  <c r="I311" i="53244" s="1"/>
  <c r="F311" i="53244"/>
  <c r="E311" i="53244"/>
  <c r="L310" i="53244"/>
  <c r="G310" i="53244"/>
  <c r="I310" i="53244" s="1"/>
  <c r="F310" i="53244"/>
  <c r="E310" i="53244"/>
  <c r="I309" i="53244"/>
  <c r="H309" i="53244"/>
  <c r="J309" i="53244" s="1"/>
  <c r="G309" i="53244"/>
  <c r="F309" i="53244"/>
  <c r="E309" i="53244"/>
  <c r="L309" i="53244" s="1"/>
  <c r="L308" i="53244"/>
  <c r="I308" i="53244"/>
  <c r="G308" i="53244"/>
  <c r="F308" i="53244"/>
  <c r="E308" i="53244"/>
  <c r="H308" i="53244" s="1"/>
  <c r="J308" i="53244" s="1"/>
  <c r="L307" i="53244"/>
  <c r="H307" i="53244"/>
  <c r="J307" i="53244" s="1"/>
  <c r="G307" i="53244"/>
  <c r="I307" i="53244" s="1"/>
  <c r="F307" i="53244"/>
  <c r="E307" i="53244"/>
  <c r="L306" i="53244"/>
  <c r="F306" i="53244"/>
  <c r="F304" i="53244" s="1"/>
  <c r="E306" i="53244"/>
  <c r="I305" i="53244"/>
  <c r="H305" i="53244"/>
  <c r="J305" i="53244" s="1"/>
  <c r="G305" i="53244"/>
  <c r="F305" i="53244"/>
  <c r="E305" i="53244"/>
  <c r="L305" i="53244" s="1"/>
  <c r="M304" i="53244"/>
  <c r="K304" i="53244"/>
  <c r="D304" i="53244"/>
  <c r="L303" i="53244"/>
  <c r="G303" i="53244"/>
  <c r="I303" i="53244" s="1"/>
  <c r="F303" i="53244"/>
  <c r="E303" i="53244"/>
  <c r="I302" i="53244"/>
  <c r="H302" i="53244"/>
  <c r="J302" i="53244" s="1"/>
  <c r="G302" i="53244"/>
  <c r="F302" i="53244"/>
  <c r="E302" i="53244"/>
  <c r="L302" i="53244" s="1"/>
  <c r="L301" i="53244"/>
  <c r="I301" i="53244"/>
  <c r="G301" i="53244"/>
  <c r="F301" i="53244"/>
  <c r="E301" i="53244"/>
  <c r="H301" i="53244" s="1"/>
  <c r="J301" i="53244" s="1"/>
  <c r="L300" i="53244"/>
  <c r="H300" i="53244"/>
  <c r="J300" i="53244" s="1"/>
  <c r="G300" i="53244"/>
  <c r="I300" i="53244" s="1"/>
  <c r="F300" i="53244"/>
  <c r="E300" i="53244"/>
  <c r="L299" i="53244"/>
  <c r="G299" i="53244"/>
  <c r="I299" i="53244" s="1"/>
  <c r="F299" i="53244"/>
  <c r="E299" i="53244"/>
  <c r="I298" i="53244"/>
  <c r="H298" i="53244"/>
  <c r="J298" i="53244" s="1"/>
  <c r="G298" i="53244"/>
  <c r="F298" i="53244"/>
  <c r="E298" i="53244"/>
  <c r="L298" i="53244" s="1"/>
  <c r="L297" i="53244"/>
  <c r="I297" i="53244"/>
  <c r="G297" i="53244"/>
  <c r="F297" i="53244"/>
  <c r="E297" i="53244"/>
  <c r="H297" i="53244" s="1"/>
  <c r="J297" i="53244" s="1"/>
  <c r="L296" i="53244"/>
  <c r="H296" i="53244"/>
  <c r="J296" i="53244" s="1"/>
  <c r="G296" i="53244"/>
  <c r="I296" i="53244" s="1"/>
  <c r="F296" i="53244"/>
  <c r="E296" i="53244"/>
  <c r="L295" i="53244"/>
  <c r="G295" i="53244"/>
  <c r="I295" i="53244" s="1"/>
  <c r="F295" i="53244"/>
  <c r="E295" i="53244"/>
  <c r="I294" i="53244"/>
  <c r="H294" i="53244"/>
  <c r="J294" i="53244" s="1"/>
  <c r="G294" i="53244"/>
  <c r="F294" i="53244"/>
  <c r="E294" i="53244"/>
  <c r="L294" i="53244" s="1"/>
  <c r="L293" i="53244"/>
  <c r="I293" i="53244"/>
  <c r="G293" i="53244"/>
  <c r="F293" i="53244"/>
  <c r="E293" i="53244"/>
  <c r="H293" i="53244" s="1"/>
  <c r="J293" i="53244" s="1"/>
  <c r="L292" i="53244"/>
  <c r="H292" i="53244"/>
  <c r="J292" i="53244" s="1"/>
  <c r="G292" i="53244"/>
  <c r="I292" i="53244" s="1"/>
  <c r="F292" i="53244"/>
  <c r="E292" i="53244"/>
  <c r="L291" i="53244"/>
  <c r="G291" i="53244"/>
  <c r="I291" i="53244" s="1"/>
  <c r="F291" i="53244"/>
  <c r="E291" i="53244"/>
  <c r="I290" i="53244"/>
  <c r="H290" i="53244"/>
  <c r="J290" i="53244" s="1"/>
  <c r="G290" i="53244"/>
  <c r="F290" i="53244"/>
  <c r="E290" i="53244"/>
  <c r="L290" i="53244" s="1"/>
  <c r="L289" i="53244"/>
  <c r="I289" i="53244"/>
  <c r="G289" i="53244"/>
  <c r="F289" i="53244"/>
  <c r="E289" i="53244"/>
  <c r="H289" i="53244" s="1"/>
  <c r="J289" i="53244" s="1"/>
  <c r="L288" i="53244"/>
  <c r="H288" i="53244"/>
  <c r="J288" i="53244" s="1"/>
  <c r="G288" i="53244"/>
  <c r="I288" i="53244" s="1"/>
  <c r="F288" i="53244"/>
  <c r="E288" i="53244"/>
  <c r="L287" i="53244"/>
  <c r="G287" i="53244"/>
  <c r="I287" i="53244" s="1"/>
  <c r="F287" i="53244"/>
  <c r="E287" i="53244"/>
  <c r="I286" i="53244"/>
  <c r="H286" i="53244"/>
  <c r="J286" i="53244" s="1"/>
  <c r="G286" i="53244"/>
  <c r="F286" i="53244"/>
  <c r="E286" i="53244"/>
  <c r="L286" i="53244" s="1"/>
  <c r="L285" i="53244"/>
  <c r="I285" i="53244"/>
  <c r="G285" i="53244"/>
  <c r="F285" i="53244"/>
  <c r="E285" i="53244"/>
  <c r="H285" i="53244" s="1"/>
  <c r="J285" i="53244" s="1"/>
  <c r="L284" i="53244"/>
  <c r="H284" i="53244"/>
  <c r="J284" i="53244" s="1"/>
  <c r="G284" i="53244"/>
  <c r="I284" i="53244" s="1"/>
  <c r="F284" i="53244"/>
  <c r="E284" i="53244"/>
  <c r="L283" i="53244"/>
  <c r="G283" i="53244"/>
  <c r="I283" i="53244" s="1"/>
  <c r="F283" i="53244"/>
  <c r="E283" i="53244"/>
  <c r="I282" i="53244"/>
  <c r="H282" i="53244"/>
  <c r="J282" i="53244" s="1"/>
  <c r="G282" i="53244"/>
  <c r="F282" i="53244"/>
  <c r="E282" i="53244"/>
  <c r="L282" i="53244" s="1"/>
  <c r="L281" i="53244"/>
  <c r="I281" i="53244"/>
  <c r="G281" i="53244"/>
  <c r="F281" i="53244"/>
  <c r="E281" i="53244"/>
  <c r="H281" i="53244" s="1"/>
  <c r="J281" i="53244" s="1"/>
  <c r="L280" i="53244"/>
  <c r="H280" i="53244"/>
  <c r="J280" i="53244" s="1"/>
  <c r="G280" i="53244"/>
  <c r="I280" i="53244" s="1"/>
  <c r="F280" i="53244"/>
  <c r="E280" i="53244"/>
  <c r="L279" i="53244"/>
  <c r="G279" i="53244"/>
  <c r="I279" i="53244" s="1"/>
  <c r="F279" i="53244"/>
  <c r="E279" i="53244"/>
  <c r="I278" i="53244"/>
  <c r="H278" i="53244"/>
  <c r="J278" i="53244" s="1"/>
  <c r="G278" i="53244"/>
  <c r="F278" i="53244"/>
  <c r="E278" i="53244"/>
  <c r="L278" i="53244" s="1"/>
  <c r="L277" i="53244"/>
  <c r="I277" i="53244"/>
  <c r="G277" i="53244"/>
  <c r="F277" i="53244"/>
  <c r="E277" i="53244"/>
  <c r="H277" i="53244" s="1"/>
  <c r="J277" i="53244" s="1"/>
  <c r="L276" i="53244"/>
  <c r="H276" i="53244"/>
  <c r="J276" i="53244" s="1"/>
  <c r="G276" i="53244"/>
  <c r="I276" i="53244" s="1"/>
  <c r="F276" i="53244"/>
  <c r="E276" i="53244"/>
  <c r="L275" i="53244"/>
  <c r="G275" i="53244"/>
  <c r="I275" i="53244" s="1"/>
  <c r="F275" i="53244"/>
  <c r="E275" i="53244"/>
  <c r="I274" i="53244"/>
  <c r="H274" i="53244"/>
  <c r="J274" i="53244" s="1"/>
  <c r="G274" i="53244"/>
  <c r="F274" i="53244"/>
  <c r="E274" i="53244"/>
  <c r="L274" i="53244" s="1"/>
  <c r="L273" i="53244"/>
  <c r="I273" i="53244"/>
  <c r="G273" i="53244"/>
  <c r="F273" i="53244"/>
  <c r="E273" i="53244"/>
  <c r="H273" i="53244" s="1"/>
  <c r="J273" i="53244" s="1"/>
  <c r="L272" i="53244"/>
  <c r="H272" i="53244"/>
  <c r="J272" i="53244" s="1"/>
  <c r="G272" i="53244"/>
  <c r="I272" i="53244" s="1"/>
  <c r="F272" i="53244"/>
  <c r="E272" i="53244"/>
  <c r="L271" i="53244"/>
  <c r="G271" i="53244"/>
  <c r="I271" i="53244" s="1"/>
  <c r="F271" i="53244"/>
  <c r="E271" i="53244"/>
  <c r="I270" i="53244"/>
  <c r="H270" i="53244"/>
  <c r="J270" i="53244" s="1"/>
  <c r="G270" i="53244"/>
  <c r="F270" i="53244"/>
  <c r="E270" i="53244"/>
  <c r="L270" i="53244" s="1"/>
  <c r="L269" i="53244"/>
  <c r="I269" i="53244"/>
  <c r="G269" i="53244"/>
  <c r="F269" i="53244"/>
  <c r="E269" i="53244"/>
  <c r="H269" i="53244" s="1"/>
  <c r="J269" i="53244" s="1"/>
  <c r="L268" i="53244"/>
  <c r="H268" i="53244"/>
  <c r="J268" i="53244" s="1"/>
  <c r="G268" i="53244"/>
  <c r="I268" i="53244" s="1"/>
  <c r="F268" i="53244"/>
  <c r="E268" i="53244"/>
  <c r="L267" i="53244"/>
  <c r="G267" i="53244"/>
  <c r="I267" i="53244" s="1"/>
  <c r="F267" i="53244"/>
  <c r="E267" i="53244"/>
  <c r="I266" i="53244"/>
  <c r="H266" i="53244"/>
  <c r="J266" i="53244" s="1"/>
  <c r="G266" i="53244"/>
  <c r="F266" i="53244"/>
  <c r="E266" i="53244"/>
  <c r="L266" i="53244" s="1"/>
  <c r="L265" i="53244"/>
  <c r="I265" i="53244"/>
  <c r="G265" i="53244"/>
  <c r="F265" i="53244"/>
  <c r="E265" i="53244"/>
  <c r="H265" i="53244" s="1"/>
  <c r="J265" i="53244" s="1"/>
  <c r="L264" i="53244"/>
  <c r="H264" i="53244"/>
  <c r="J264" i="53244" s="1"/>
  <c r="G264" i="53244"/>
  <c r="I264" i="53244" s="1"/>
  <c r="F264" i="53244"/>
  <c r="E264" i="53244"/>
  <c r="L263" i="53244"/>
  <c r="G263" i="53244"/>
  <c r="I263" i="53244" s="1"/>
  <c r="F263" i="53244"/>
  <c r="E263" i="53244"/>
  <c r="I262" i="53244"/>
  <c r="H262" i="53244"/>
  <c r="J262" i="53244" s="1"/>
  <c r="G262" i="53244"/>
  <c r="F262" i="53244"/>
  <c r="E262" i="53244"/>
  <c r="L262" i="53244" s="1"/>
  <c r="L261" i="53244"/>
  <c r="I261" i="53244"/>
  <c r="G261" i="53244"/>
  <c r="F261" i="53244"/>
  <c r="E261" i="53244"/>
  <c r="H261" i="53244" s="1"/>
  <c r="J261" i="53244" s="1"/>
  <c r="L260" i="53244"/>
  <c r="H260" i="53244"/>
  <c r="J260" i="53244" s="1"/>
  <c r="G260" i="53244"/>
  <c r="I260" i="53244" s="1"/>
  <c r="F260" i="53244"/>
  <c r="E260" i="53244"/>
  <c r="L259" i="53244"/>
  <c r="G259" i="53244"/>
  <c r="F259" i="53244"/>
  <c r="E259" i="53244"/>
  <c r="I258" i="53244"/>
  <c r="H258" i="53244"/>
  <c r="J258" i="53244" s="1"/>
  <c r="G258" i="53244"/>
  <c r="F258" i="53244"/>
  <c r="E258" i="53244"/>
  <c r="L258" i="53244" s="1"/>
  <c r="L257" i="53244"/>
  <c r="I257" i="53244"/>
  <c r="G257" i="53244"/>
  <c r="F257" i="53244"/>
  <c r="E257" i="53244"/>
  <c r="H257" i="53244" s="1"/>
  <c r="J257" i="53244" s="1"/>
  <c r="L256" i="53244"/>
  <c r="H256" i="53244"/>
  <c r="J256" i="53244" s="1"/>
  <c r="G256" i="53244"/>
  <c r="I256" i="53244" s="1"/>
  <c r="F256" i="53244"/>
  <c r="E256" i="53244"/>
  <c r="L255" i="53244"/>
  <c r="G255" i="53244"/>
  <c r="I255" i="53244" s="1"/>
  <c r="F255" i="53244"/>
  <c r="E255" i="53244"/>
  <c r="I254" i="53244"/>
  <c r="H254" i="53244"/>
  <c r="J254" i="53244" s="1"/>
  <c r="G254" i="53244"/>
  <c r="F254" i="53244"/>
  <c r="E254" i="53244"/>
  <c r="L254" i="53244" s="1"/>
  <c r="L253" i="53244"/>
  <c r="I253" i="53244"/>
  <c r="G253" i="53244"/>
  <c r="F253" i="53244"/>
  <c r="E253" i="53244"/>
  <c r="H253" i="53244" s="1"/>
  <c r="J253" i="53244" s="1"/>
  <c r="L252" i="53244"/>
  <c r="H252" i="53244"/>
  <c r="J252" i="53244" s="1"/>
  <c r="G252" i="53244"/>
  <c r="I252" i="53244" s="1"/>
  <c r="F252" i="53244"/>
  <c r="E252" i="53244"/>
  <c r="L251" i="53244"/>
  <c r="G251" i="53244"/>
  <c r="F251" i="53244"/>
  <c r="E251" i="53244"/>
  <c r="I250" i="53244"/>
  <c r="H250" i="53244"/>
  <c r="J250" i="53244" s="1"/>
  <c r="G250" i="53244"/>
  <c r="F250" i="53244"/>
  <c r="E250" i="53244"/>
  <c r="L250" i="53244" s="1"/>
  <c r="I249" i="53244"/>
  <c r="G249" i="53244"/>
  <c r="F249" i="53244"/>
  <c r="E249" i="53244"/>
  <c r="H249" i="53244" s="1"/>
  <c r="L248" i="53244"/>
  <c r="H248" i="53244"/>
  <c r="G248" i="53244"/>
  <c r="I248" i="53244" s="1"/>
  <c r="F248" i="53244"/>
  <c r="E248" i="53244"/>
  <c r="G247" i="53244"/>
  <c r="F247" i="53244"/>
  <c r="E247" i="53244"/>
  <c r="I246" i="53244"/>
  <c r="H246" i="53244"/>
  <c r="J246" i="53244" s="1"/>
  <c r="G246" i="53244"/>
  <c r="F246" i="53244"/>
  <c r="E246" i="53244"/>
  <c r="L246" i="53244" s="1"/>
  <c r="I245" i="53244"/>
  <c r="G245" i="53244"/>
  <c r="F245" i="53244"/>
  <c r="E245" i="53244"/>
  <c r="H245" i="53244" s="1"/>
  <c r="L244" i="53244"/>
  <c r="H244" i="53244"/>
  <c r="G244" i="53244"/>
  <c r="I244" i="53244" s="1"/>
  <c r="F244" i="53244"/>
  <c r="E244" i="53244"/>
  <c r="G243" i="53244"/>
  <c r="F243" i="53244"/>
  <c r="E243" i="53244"/>
  <c r="I242" i="53244"/>
  <c r="H242" i="53244"/>
  <c r="J242" i="53244" s="1"/>
  <c r="G242" i="53244"/>
  <c r="F242" i="53244"/>
  <c r="E242" i="53244"/>
  <c r="L242" i="53244" s="1"/>
  <c r="I241" i="53244"/>
  <c r="G241" i="53244"/>
  <c r="F241" i="53244"/>
  <c r="E241" i="53244"/>
  <c r="H241" i="53244" s="1"/>
  <c r="J241" i="53244" s="1"/>
  <c r="L240" i="53244"/>
  <c r="H240" i="53244"/>
  <c r="G240" i="53244"/>
  <c r="I240" i="53244" s="1"/>
  <c r="F240" i="53244"/>
  <c r="E240" i="53244"/>
  <c r="G239" i="53244"/>
  <c r="I239" i="53244" s="1"/>
  <c r="F239" i="53244"/>
  <c r="E239" i="53244"/>
  <c r="I238" i="53244"/>
  <c r="H238" i="53244"/>
  <c r="J238" i="53244" s="1"/>
  <c r="G238" i="53244"/>
  <c r="F238" i="53244"/>
  <c r="E238" i="53244"/>
  <c r="L238" i="53244" s="1"/>
  <c r="I237" i="53244"/>
  <c r="G237" i="53244"/>
  <c r="F237" i="53244"/>
  <c r="E237" i="53244"/>
  <c r="H237" i="53244" s="1"/>
  <c r="J237" i="53244" s="1"/>
  <c r="L236" i="53244"/>
  <c r="H236" i="53244"/>
  <c r="G236" i="53244"/>
  <c r="I236" i="53244" s="1"/>
  <c r="F236" i="53244"/>
  <c r="E236" i="53244"/>
  <c r="G235" i="53244"/>
  <c r="I235" i="53244" s="1"/>
  <c r="F235" i="53244"/>
  <c r="E235" i="53244"/>
  <c r="I234" i="53244"/>
  <c r="H234" i="53244"/>
  <c r="J234" i="53244" s="1"/>
  <c r="G234" i="53244"/>
  <c r="F234" i="53244"/>
  <c r="E234" i="53244"/>
  <c r="L234" i="53244" s="1"/>
  <c r="I233" i="53244"/>
  <c r="G233" i="53244"/>
  <c r="F233" i="53244"/>
  <c r="E233" i="53244"/>
  <c r="H233" i="53244" s="1"/>
  <c r="J233" i="53244" s="1"/>
  <c r="L232" i="53244"/>
  <c r="H232" i="53244"/>
  <c r="G232" i="53244"/>
  <c r="I232" i="53244" s="1"/>
  <c r="F232" i="53244"/>
  <c r="E232" i="53244"/>
  <c r="G231" i="53244"/>
  <c r="I231" i="53244" s="1"/>
  <c r="F231" i="53244"/>
  <c r="E231" i="53244"/>
  <c r="I230" i="53244"/>
  <c r="H230" i="53244"/>
  <c r="J230" i="53244" s="1"/>
  <c r="G230" i="53244"/>
  <c r="F230" i="53244"/>
  <c r="E230" i="53244"/>
  <c r="L230" i="53244" s="1"/>
  <c r="I229" i="53244"/>
  <c r="G229" i="53244"/>
  <c r="F229" i="53244"/>
  <c r="E229" i="53244"/>
  <c r="H229" i="53244" s="1"/>
  <c r="J229" i="53244" s="1"/>
  <c r="L228" i="53244"/>
  <c r="H228" i="53244"/>
  <c r="G228" i="53244"/>
  <c r="I228" i="53244" s="1"/>
  <c r="F228" i="53244"/>
  <c r="E228" i="53244"/>
  <c r="G227" i="53244"/>
  <c r="I227" i="53244" s="1"/>
  <c r="F227" i="53244"/>
  <c r="E227" i="53244"/>
  <c r="I226" i="53244"/>
  <c r="H226" i="53244"/>
  <c r="J226" i="53244" s="1"/>
  <c r="G226" i="53244"/>
  <c r="F226" i="53244"/>
  <c r="E226" i="53244"/>
  <c r="L226" i="53244" s="1"/>
  <c r="I225" i="53244"/>
  <c r="G225" i="53244"/>
  <c r="F225" i="53244"/>
  <c r="E225" i="53244"/>
  <c r="H225" i="53244" s="1"/>
  <c r="J225" i="53244" s="1"/>
  <c r="L224" i="53244"/>
  <c r="H224" i="53244"/>
  <c r="G224" i="53244"/>
  <c r="I224" i="53244" s="1"/>
  <c r="F224" i="53244"/>
  <c r="E224" i="53244"/>
  <c r="G223" i="53244"/>
  <c r="I223" i="53244" s="1"/>
  <c r="F223" i="53244"/>
  <c r="E223" i="53244"/>
  <c r="I222" i="53244"/>
  <c r="H222" i="53244"/>
  <c r="J222" i="53244" s="1"/>
  <c r="G222" i="53244"/>
  <c r="F222" i="53244"/>
  <c r="E222" i="53244"/>
  <c r="L222" i="53244" s="1"/>
  <c r="I221" i="53244"/>
  <c r="G221" i="53244"/>
  <c r="F221" i="53244"/>
  <c r="E221" i="53244"/>
  <c r="H221" i="53244" s="1"/>
  <c r="J221" i="53244" s="1"/>
  <c r="L220" i="53244"/>
  <c r="H220" i="53244"/>
  <c r="G220" i="53244"/>
  <c r="I220" i="53244" s="1"/>
  <c r="F220" i="53244"/>
  <c r="E220" i="53244"/>
  <c r="G219" i="53244"/>
  <c r="I219" i="53244" s="1"/>
  <c r="F219" i="53244"/>
  <c r="E219" i="53244"/>
  <c r="I218" i="53244"/>
  <c r="H218" i="53244"/>
  <c r="J218" i="53244" s="1"/>
  <c r="G218" i="53244"/>
  <c r="F218" i="53244"/>
  <c r="E218" i="53244"/>
  <c r="L218" i="53244" s="1"/>
  <c r="I217" i="53244"/>
  <c r="G217" i="53244"/>
  <c r="F217" i="53244"/>
  <c r="E217" i="53244"/>
  <c r="H217" i="53244" s="1"/>
  <c r="J217" i="53244" s="1"/>
  <c r="L216" i="53244"/>
  <c r="H216" i="53244"/>
  <c r="G216" i="53244"/>
  <c r="I216" i="53244" s="1"/>
  <c r="F216" i="53244"/>
  <c r="E216" i="53244"/>
  <c r="G215" i="53244"/>
  <c r="I215" i="53244" s="1"/>
  <c r="F215" i="53244"/>
  <c r="E215" i="53244"/>
  <c r="I214" i="53244"/>
  <c r="H214" i="53244"/>
  <c r="J214" i="53244" s="1"/>
  <c r="G214" i="53244"/>
  <c r="F214" i="53244"/>
  <c r="E214" i="53244"/>
  <c r="L214" i="53244" s="1"/>
  <c r="I213" i="53244"/>
  <c r="G213" i="53244"/>
  <c r="F213" i="53244"/>
  <c r="E213" i="53244"/>
  <c r="H213" i="53244" s="1"/>
  <c r="J213" i="53244" s="1"/>
  <c r="L212" i="53244"/>
  <c r="H212" i="53244"/>
  <c r="G212" i="53244"/>
  <c r="I212" i="53244" s="1"/>
  <c r="F212" i="53244"/>
  <c r="E212" i="53244"/>
  <c r="G211" i="53244"/>
  <c r="I211" i="53244" s="1"/>
  <c r="F211" i="53244"/>
  <c r="E211" i="53244"/>
  <c r="I210" i="53244"/>
  <c r="H210" i="53244"/>
  <c r="J210" i="53244" s="1"/>
  <c r="G210" i="53244"/>
  <c r="F210" i="53244"/>
  <c r="E210" i="53244"/>
  <c r="L210" i="53244" s="1"/>
  <c r="L209" i="53244"/>
  <c r="F209" i="53244"/>
  <c r="E209" i="53244"/>
  <c r="H209" i="53244" s="1"/>
  <c r="L208" i="53244"/>
  <c r="H208" i="53244"/>
  <c r="J208" i="53244" s="1"/>
  <c r="G208" i="53244"/>
  <c r="I208" i="53244" s="1"/>
  <c r="F208" i="53244"/>
  <c r="E208" i="53244"/>
  <c r="G207" i="53244"/>
  <c r="F207" i="53244"/>
  <c r="E207" i="53244"/>
  <c r="I206" i="53244"/>
  <c r="H206" i="53244"/>
  <c r="J206" i="53244" s="1"/>
  <c r="G206" i="53244"/>
  <c r="F206" i="53244"/>
  <c r="E206" i="53244"/>
  <c r="L206" i="53244" s="1"/>
  <c r="I205" i="53244"/>
  <c r="G205" i="53244"/>
  <c r="F205" i="53244"/>
  <c r="E205" i="53244"/>
  <c r="H205" i="53244" s="1"/>
  <c r="L204" i="53244"/>
  <c r="H204" i="53244"/>
  <c r="J204" i="53244" s="1"/>
  <c r="G204" i="53244"/>
  <c r="I204" i="53244" s="1"/>
  <c r="F204" i="53244"/>
  <c r="E204" i="53244"/>
  <c r="G203" i="53244"/>
  <c r="F203" i="53244"/>
  <c r="E203" i="53244"/>
  <c r="I202" i="53244"/>
  <c r="H202" i="53244"/>
  <c r="J202" i="53244" s="1"/>
  <c r="G202" i="53244"/>
  <c r="F202" i="53244"/>
  <c r="E202" i="53244"/>
  <c r="L202" i="53244" s="1"/>
  <c r="I201" i="53244"/>
  <c r="G201" i="53244"/>
  <c r="F201" i="53244"/>
  <c r="E201" i="53244"/>
  <c r="H201" i="53244" s="1"/>
  <c r="L200" i="53244"/>
  <c r="H200" i="53244"/>
  <c r="J200" i="53244" s="1"/>
  <c r="G200" i="53244"/>
  <c r="I200" i="53244" s="1"/>
  <c r="F200" i="53244"/>
  <c r="E200" i="53244"/>
  <c r="G199" i="53244"/>
  <c r="F199" i="53244"/>
  <c r="E199" i="53244"/>
  <c r="I198" i="53244"/>
  <c r="H198" i="53244"/>
  <c r="J198" i="53244" s="1"/>
  <c r="G198" i="53244"/>
  <c r="F198" i="53244"/>
  <c r="E198" i="53244"/>
  <c r="L198" i="53244" s="1"/>
  <c r="I197" i="53244"/>
  <c r="G197" i="53244"/>
  <c r="F197" i="53244"/>
  <c r="E197" i="53244"/>
  <c r="H197" i="53244" s="1"/>
  <c r="L196" i="53244"/>
  <c r="H196" i="53244"/>
  <c r="J196" i="53244" s="1"/>
  <c r="G196" i="53244"/>
  <c r="I196" i="53244" s="1"/>
  <c r="F196" i="53244"/>
  <c r="E196" i="53244"/>
  <c r="G195" i="53244"/>
  <c r="F195" i="53244"/>
  <c r="E195" i="53244"/>
  <c r="I194" i="53244"/>
  <c r="H194" i="53244"/>
  <c r="J194" i="53244" s="1"/>
  <c r="G194" i="53244"/>
  <c r="F194" i="53244"/>
  <c r="E194" i="53244"/>
  <c r="L194" i="53244" s="1"/>
  <c r="L193" i="53244"/>
  <c r="H193" i="53244"/>
  <c r="J193" i="53244" s="1"/>
  <c r="G193" i="53244"/>
  <c r="I193" i="53244" s="1"/>
  <c r="F193" i="53244"/>
  <c r="E193" i="53244"/>
  <c r="L192" i="53244"/>
  <c r="G192" i="53244"/>
  <c r="F192" i="53244"/>
  <c r="H192" i="53244" s="1"/>
  <c r="E192" i="53244"/>
  <c r="G191" i="53244"/>
  <c r="F191" i="53244"/>
  <c r="I191" i="53244" s="1"/>
  <c r="E191" i="53244"/>
  <c r="I190" i="53244"/>
  <c r="H190" i="53244"/>
  <c r="J190" i="53244" s="1"/>
  <c r="G190" i="53244"/>
  <c r="F190" i="53244"/>
  <c r="E190" i="53244"/>
  <c r="L190" i="53244" s="1"/>
  <c r="L189" i="53244"/>
  <c r="H189" i="53244"/>
  <c r="J189" i="53244" s="1"/>
  <c r="G189" i="53244"/>
  <c r="I189" i="53244" s="1"/>
  <c r="F189" i="53244"/>
  <c r="E189" i="53244"/>
  <c r="L188" i="53244"/>
  <c r="G188" i="53244"/>
  <c r="F188" i="53244"/>
  <c r="H188" i="53244" s="1"/>
  <c r="E188" i="53244"/>
  <c r="G187" i="53244"/>
  <c r="F187" i="53244"/>
  <c r="I187" i="53244" s="1"/>
  <c r="E187" i="53244"/>
  <c r="I186" i="53244"/>
  <c r="H186" i="53244"/>
  <c r="J186" i="53244" s="1"/>
  <c r="G186" i="53244"/>
  <c r="F186" i="53244"/>
  <c r="E186" i="53244"/>
  <c r="L186" i="53244" s="1"/>
  <c r="L185" i="53244"/>
  <c r="H185" i="53244"/>
  <c r="J185" i="53244" s="1"/>
  <c r="G185" i="53244"/>
  <c r="I185" i="53244" s="1"/>
  <c r="F185" i="53244"/>
  <c r="E185" i="53244"/>
  <c r="L184" i="53244"/>
  <c r="F184" i="53244"/>
  <c r="H184" i="53244" s="1"/>
  <c r="E184" i="53244"/>
  <c r="G183" i="53244"/>
  <c r="F183" i="53244"/>
  <c r="I183" i="53244" s="1"/>
  <c r="E183" i="53244"/>
  <c r="I182" i="53244"/>
  <c r="H182" i="53244"/>
  <c r="J182" i="53244" s="1"/>
  <c r="G182" i="53244"/>
  <c r="F182" i="53244"/>
  <c r="E182" i="53244"/>
  <c r="L182" i="53244" s="1"/>
  <c r="L181" i="53244"/>
  <c r="H181" i="53244"/>
  <c r="J181" i="53244" s="1"/>
  <c r="G181" i="53244"/>
  <c r="I181" i="53244" s="1"/>
  <c r="F181" i="53244"/>
  <c r="E181" i="53244"/>
  <c r="L180" i="53244"/>
  <c r="G180" i="53244"/>
  <c r="F180" i="53244"/>
  <c r="H180" i="53244" s="1"/>
  <c r="E180" i="53244"/>
  <c r="G179" i="53244"/>
  <c r="F179" i="53244"/>
  <c r="I179" i="53244" s="1"/>
  <c r="E179" i="53244"/>
  <c r="I178" i="53244"/>
  <c r="H178" i="53244"/>
  <c r="J178" i="53244" s="1"/>
  <c r="G178" i="53244"/>
  <c r="F178" i="53244"/>
  <c r="E178" i="53244"/>
  <c r="L178" i="53244" s="1"/>
  <c r="L177" i="53244"/>
  <c r="H177" i="53244"/>
  <c r="J177" i="53244" s="1"/>
  <c r="G177" i="53244"/>
  <c r="I177" i="53244" s="1"/>
  <c r="F177" i="53244"/>
  <c r="E177" i="53244"/>
  <c r="L176" i="53244"/>
  <c r="G176" i="53244"/>
  <c r="F176" i="53244"/>
  <c r="H176" i="53244" s="1"/>
  <c r="E176" i="53244"/>
  <c r="G175" i="53244"/>
  <c r="I175" i="53244" s="1"/>
  <c r="F175" i="53244"/>
  <c r="E175" i="53244"/>
  <c r="I174" i="53244"/>
  <c r="H174" i="53244"/>
  <c r="J174" i="53244" s="1"/>
  <c r="G174" i="53244"/>
  <c r="F174" i="53244"/>
  <c r="E174" i="53244"/>
  <c r="L174" i="53244" s="1"/>
  <c r="L173" i="53244"/>
  <c r="I173" i="53244"/>
  <c r="G173" i="53244"/>
  <c r="F173" i="53244"/>
  <c r="E173" i="53244"/>
  <c r="H173" i="53244" s="1"/>
  <c r="J173" i="53244" s="1"/>
  <c r="L172" i="53244"/>
  <c r="H172" i="53244"/>
  <c r="J172" i="53244" s="1"/>
  <c r="G172" i="53244"/>
  <c r="I172" i="53244" s="1"/>
  <c r="F172" i="53244"/>
  <c r="E172" i="53244"/>
  <c r="L171" i="53244"/>
  <c r="G171" i="53244"/>
  <c r="I171" i="53244" s="1"/>
  <c r="F171" i="53244"/>
  <c r="E171" i="53244"/>
  <c r="I170" i="53244"/>
  <c r="H170" i="53244"/>
  <c r="J170" i="53244" s="1"/>
  <c r="G170" i="53244"/>
  <c r="F170" i="53244"/>
  <c r="E170" i="53244"/>
  <c r="L170" i="53244" s="1"/>
  <c r="L169" i="53244"/>
  <c r="I169" i="53244"/>
  <c r="G169" i="53244"/>
  <c r="F169" i="53244"/>
  <c r="E169" i="53244"/>
  <c r="H169" i="53244" s="1"/>
  <c r="J169" i="53244" s="1"/>
  <c r="L168" i="53244"/>
  <c r="H168" i="53244"/>
  <c r="J168" i="53244" s="1"/>
  <c r="G168" i="53244"/>
  <c r="I168" i="53244" s="1"/>
  <c r="F168" i="53244"/>
  <c r="E168" i="53244"/>
  <c r="L167" i="53244"/>
  <c r="G167" i="53244"/>
  <c r="I167" i="53244" s="1"/>
  <c r="F167" i="53244"/>
  <c r="E167" i="53244"/>
  <c r="I166" i="53244"/>
  <c r="H166" i="53244"/>
  <c r="J166" i="53244" s="1"/>
  <c r="G166" i="53244"/>
  <c r="F166" i="53244"/>
  <c r="E166" i="53244"/>
  <c r="L166" i="53244" s="1"/>
  <c r="L165" i="53244"/>
  <c r="I165" i="53244"/>
  <c r="G165" i="53244"/>
  <c r="F165" i="53244"/>
  <c r="E165" i="53244"/>
  <c r="H165" i="53244" s="1"/>
  <c r="J165" i="53244" s="1"/>
  <c r="L164" i="53244"/>
  <c r="H164" i="53244"/>
  <c r="J164" i="53244" s="1"/>
  <c r="G164" i="53244"/>
  <c r="I164" i="53244" s="1"/>
  <c r="F164" i="53244"/>
  <c r="E164" i="53244"/>
  <c r="L163" i="53244"/>
  <c r="F163" i="53244"/>
  <c r="E163" i="53244"/>
  <c r="I162" i="53244"/>
  <c r="H162" i="53244"/>
  <c r="J162" i="53244" s="1"/>
  <c r="G162" i="53244"/>
  <c r="F162" i="53244"/>
  <c r="E162" i="53244"/>
  <c r="L162" i="53244" s="1"/>
  <c r="L161" i="53244"/>
  <c r="I161" i="53244"/>
  <c r="G161" i="53244"/>
  <c r="F161" i="53244"/>
  <c r="E161" i="53244"/>
  <c r="H161" i="53244" s="1"/>
  <c r="J161" i="53244" s="1"/>
  <c r="L160" i="53244"/>
  <c r="H160" i="53244"/>
  <c r="J160" i="53244" s="1"/>
  <c r="G160" i="53244"/>
  <c r="I160" i="53244" s="1"/>
  <c r="F160" i="53244"/>
  <c r="E160" i="53244"/>
  <c r="L159" i="53244"/>
  <c r="G159" i="53244"/>
  <c r="I159" i="53244" s="1"/>
  <c r="F159" i="53244"/>
  <c r="E159" i="53244"/>
  <c r="I158" i="53244"/>
  <c r="H158" i="53244"/>
  <c r="J158" i="53244" s="1"/>
  <c r="G158" i="53244"/>
  <c r="F158" i="53244"/>
  <c r="E158" i="53244"/>
  <c r="L158" i="53244" s="1"/>
  <c r="L157" i="53244"/>
  <c r="I157" i="53244"/>
  <c r="G157" i="53244"/>
  <c r="F157" i="53244"/>
  <c r="E157" i="53244"/>
  <c r="H157" i="53244" s="1"/>
  <c r="J157" i="53244" s="1"/>
  <c r="L156" i="53244"/>
  <c r="H156" i="53244"/>
  <c r="J156" i="53244" s="1"/>
  <c r="G156" i="53244"/>
  <c r="I156" i="53244" s="1"/>
  <c r="F156" i="53244"/>
  <c r="E156" i="53244"/>
  <c r="L155" i="53244"/>
  <c r="G155" i="53244"/>
  <c r="I155" i="53244" s="1"/>
  <c r="F155" i="53244"/>
  <c r="E155" i="53244"/>
  <c r="I154" i="53244"/>
  <c r="H154" i="53244"/>
  <c r="J154" i="53244" s="1"/>
  <c r="G154" i="53244"/>
  <c r="F154" i="53244"/>
  <c r="E154" i="53244"/>
  <c r="L154" i="53244" s="1"/>
  <c r="L153" i="53244"/>
  <c r="I153" i="53244"/>
  <c r="G153" i="53244"/>
  <c r="F153" i="53244"/>
  <c r="E153" i="53244"/>
  <c r="H153" i="53244" s="1"/>
  <c r="J153" i="53244" s="1"/>
  <c r="L152" i="53244"/>
  <c r="H152" i="53244"/>
  <c r="J152" i="53244" s="1"/>
  <c r="G152" i="53244"/>
  <c r="I152" i="53244" s="1"/>
  <c r="F152" i="53244"/>
  <c r="E152" i="53244"/>
  <c r="L151" i="53244"/>
  <c r="G151" i="53244"/>
  <c r="I151" i="53244" s="1"/>
  <c r="F151" i="53244"/>
  <c r="E151" i="53244"/>
  <c r="I150" i="53244"/>
  <c r="H150" i="53244"/>
  <c r="J150" i="53244" s="1"/>
  <c r="G150" i="53244"/>
  <c r="F150" i="53244"/>
  <c r="E150" i="53244"/>
  <c r="L150" i="53244" s="1"/>
  <c r="L149" i="53244"/>
  <c r="I149" i="53244"/>
  <c r="G149" i="53244"/>
  <c r="F149" i="53244"/>
  <c r="E149" i="53244"/>
  <c r="H149" i="53244" s="1"/>
  <c r="J149" i="53244" s="1"/>
  <c r="L148" i="53244"/>
  <c r="H148" i="53244"/>
  <c r="J148" i="53244" s="1"/>
  <c r="G148" i="53244"/>
  <c r="I148" i="53244" s="1"/>
  <c r="F148" i="53244"/>
  <c r="E148" i="53244"/>
  <c r="L147" i="53244"/>
  <c r="G147" i="53244"/>
  <c r="I147" i="53244" s="1"/>
  <c r="F147" i="53244"/>
  <c r="F145" i="53244" s="1"/>
  <c r="E147" i="53244"/>
  <c r="I146" i="53244"/>
  <c r="H146" i="53244"/>
  <c r="J146" i="53244" s="1"/>
  <c r="G146" i="53244"/>
  <c r="F146" i="53244"/>
  <c r="E146" i="53244"/>
  <c r="L146" i="53244" s="1"/>
  <c r="M145" i="53244"/>
  <c r="K145" i="53244"/>
  <c r="D145" i="53244"/>
  <c r="L144" i="53244"/>
  <c r="G144" i="53244"/>
  <c r="I144" i="53244" s="1"/>
  <c r="F144" i="53244"/>
  <c r="E144" i="53244"/>
  <c r="I143" i="53244"/>
  <c r="H143" i="53244"/>
  <c r="J143" i="53244" s="1"/>
  <c r="G143" i="53244"/>
  <c r="F143" i="53244"/>
  <c r="E143" i="53244"/>
  <c r="L143" i="53244" s="1"/>
  <c r="L142" i="53244"/>
  <c r="I142" i="53244"/>
  <c r="G142" i="53244"/>
  <c r="F142" i="53244"/>
  <c r="E142" i="53244"/>
  <c r="H142" i="53244" s="1"/>
  <c r="J142" i="53244" s="1"/>
  <c r="L141" i="53244"/>
  <c r="H141" i="53244"/>
  <c r="J141" i="53244" s="1"/>
  <c r="G141" i="53244"/>
  <c r="I141" i="53244" s="1"/>
  <c r="F141" i="53244"/>
  <c r="E141" i="53244"/>
  <c r="L140" i="53244"/>
  <c r="G140" i="53244"/>
  <c r="I140" i="53244" s="1"/>
  <c r="F140" i="53244"/>
  <c r="E140" i="53244"/>
  <c r="I139" i="53244"/>
  <c r="H139" i="53244"/>
  <c r="J139" i="53244" s="1"/>
  <c r="G139" i="53244"/>
  <c r="F139" i="53244"/>
  <c r="E139" i="53244"/>
  <c r="L139" i="53244" s="1"/>
  <c r="L138" i="53244"/>
  <c r="I138" i="53244"/>
  <c r="G138" i="53244"/>
  <c r="F138" i="53244"/>
  <c r="E138" i="53244"/>
  <c r="H138" i="53244" s="1"/>
  <c r="J138" i="53244" s="1"/>
  <c r="L137" i="53244"/>
  <c r="H137" i="53244"/>
  <c r="J137" i="53244" s="1"/>
  <c r="G137" i="53244"/>
  <c r="I137" i="53244" s="1"/>
  <c r="F137" i="53244"/>
  <c r="E137" i="53244"/>
  <c r="L136" i="53244"/>
  <c r="G136" i="53244"/>
  <c r="I136" i="53244" s="1"/>
  <c r="F136" i="53244"/>
  <c r="E136" i="53244"/>
  <c r="H135" i="53244"/>
  <c r="F135" i="53244"/>
  <c r="E135" i="53244"/>
  <c r="D135" i="53244"/>
  <c r="L135" i="53244" s="1"/>
  <c r="G134" i="53244"/>
  <c r="F134" i="53244"/>
  <c r="I134" i="53244" s="1"/>
  <c r="E134" i="53244"/>
  <c r="L134" i="53244" s="1"/>
  <c r="H133" i="53244"/>
  <c r="F133" i="53244"/>
  <c r="E133" i="53244"/>
  <c r="L133" i="53244" s="1"/>
  <c r="L132" i="53244"/>
  <c r="G132" i="53244"/>
  <c r="F132" i="53244"/>
  <c r="H132" i="53244" s="1"/>
  <c r="E132" i="53244"/>
  <c r="I131" i="53244"/>
  <c r="G131" i="53244"/>
  <c r="F131" i="53244"/>
  <c r="E131" i="53244"/>
  <c r="H131" i="53244" s="1"/>
  <c r="J131" i="53244" s="1"/>
  <c r="G130" i="53244"/>
  <c r="F130" i="53244"/>
  <c r="I130" i="53244" s="1"/>
  <c r="E130" i="53244"/>
  <c r="L130" i="53244" s="1"/>
  <c r="H129" i="53244"/>
  <c r="G129" i="53244"/>
  <c r="I129" i="53244" s="1"/>
  <c r="F129" i="53244"/>
  <c r="E129" i="53244"/>
  <c r="L129" i="53244" s="1"/>
  <c r="L128" i="53244"/>
  <c r="G128" i="53244"/>
  <c r="F128" i="53244"/>
  <c r="H128" i="53244" s="1"/>
  <c r="E128" i="53244"/>
  <c r="I127" i="53244"/>
  <c r="G127" i="53244"/>
  <c r="F127" i="53244"/>
  <c r="E127" i="53244"/>
  <c r="H127" i="53244" s="1"/>
  <c r="J127" i="53244" s="1"/>
  <c r="G126" i="53244"/>
  <c r="F126" i="53244"/>
  <c r="I126" i="53244" s="1"/>
  <c r="E126" i="53244"/>
  <c r="L126" i="53244" s="1"/>
  <c r="M125" i="53244"/>
  <c r="I125" i="53244"/>
  <c r="G125" i="53244"/>
  <c r="F125" i="53244"/>
  <c r="E125" i="53244"/>
  <c r="L125" i="53244" s="1"/>
  <c r="L124" i="53244"/>
  <c r="H124" i="53244"/>
  <c r="G124" i="53244"/>
  <c r="I124" i="53244" s="1"/>
  <c r="F124" i="53244"/>
  <c r="E124" i="53244"/>
  <c r="L123" i="53244"/>
  <c r="H123" i="53244"/>
  <c r="G123" i="53244"/>
  <c r="F123" i="53244"/>
  <c r="E123" i="53244"/>
  <c r="L122" i="53244"/>
  <c r="G122" i="53244"/>
  <c r="I122" i="53244" s="1"/>
  <c r="F122" i="53244"/>
  <c r="E122" i="53244"/>
  <c r="I121" i="53244"/>
  <c r="G121" i="53244"/>
  <c r="F121" i="53244"/>
  <c r="E121" i="53244"/>
  <c r="L121" i="53244" s="1"/>
  <c r="F120" i="53244"/>
  <c r="D120" i="53244"/>
  <c r="D102" i="53244" s="1"/>
  <c r="L119" i="53244"/>
  <c r="I119" i="53244"/>
  <c r="G119" i="53244"/>
  <c r="F119" i="53244"/>
  <c r="E119" i="53244"/>
  <c r="H119" i="53244" s="1"/>
  <c r="J119" i="53244" s="1"/>
  <c r="L118" i="53244"/>
  <c r="H118" i="53244"/>
  <c r="J118" i="53244" s="1"/>
  <c r="G118" i="53244"/>
  <c r="I118" i="53244" s="1"/>
  <c r="F118" i="53244"/>
  <c r="E118" i="53244"/>
  <c r="L117" i="53244"/>
  <c r="F117" i="53244"/>
  <c r="E117" i="53244"/>
  <c r="I116" i="53244"/>
  <c r="H116" i="53244"/>
  <c r="J116" i="53244" s="1"/>
  <c r="G116" i="53244"/>
  <c r="F116" i="53244"/>
  <c r="E116" i="53244"/>
  <c r="L116" i="53244" s="1"/>
  <c r="L115" i="53244"/>
  <c r="I115" i="53244"/>
  <c r="G115" i="53244"/>
  <c r="F115" i="53244"/>
  <c r="E115" i="53244"/>
  <c r="H115" i="53244" s="1"/>
  <c r="J115" i="53244" s="1"/>
  <c r="L114" i="53244"/>
  <c r="H114" i="53244"/>
  <c r="J114" i="53244" s="1"/>
  <c r="G114" i="53244"/>
  <c r="I114" i="53244" s="1"/>
  <c r="F114" i="53244"/>
  <c r="E114" i="53244"/>
  <c r="L113" i="53244"/>
  <c r="G113" i="53244"/>
  <c r="I113" i="53244" s="1"/>
  <c r="F113" i="53244"/>
  <c r="E113" i="53244"/>
  <c r="I112" i="53244"/>
  <c r="H112" i="53244"/>
  <c r="J112" i="53244" s="1"/>
  <c r="G112" i="53244"/>
  <c r="F112" i="53244"/>
  <c r="E112" i="53244"/>
  <c r="L112" i="53244" s="1"/>
  <c r="L111" i="53244"/>
  <c r="I111" i="53244"/>
  <c r="G111" i="53244"/>
  <c r="F111" i="53244"/>
  <c r="E111" i="53244"/>
  <c r="H111" i="53244" s="1"/>
  <c r="J111" i="53244" s="1"/>
  <c r="L110" i="53244"/>
  <c r="H110" i="53244"/>
  <c r="J110" i="53244" s="1"/>
  <c r="G110" i="53244"/>
  <c r="I110" i="53244" s="1"/>
  <c r="F110" i="53244"/>
  <c r="E110" i="53244"/>
  <c r="L109" i="53244"/>
  <c r="G109" i="53244"/>
  <c r="I109" i="53244" s="1"/>
  <c r="F109" i="53244"/>
  <c r="E109" i="53244"/>
  <c r="D109" i="53244"/>
  <c r="I108" i="53244"/>
  <c r="G108" i="53244"/>
  <c r="F108" i="53244"/>
  <c r="E108" i="53244"/>
  <c r="H108" i="53244" s="1"/>
  <c r="J108" i="53244" s="1"/>
  <c r="G107" i="53244"/>
  <c r="F107" i="53244"/>
  <c r="I107" i="53244" s="1"/>
  <c r="E107" i="53244"/>
  <c r="L107" i="53244" s="1"/>
  <c r="I106" i="53244"/>
  <c r="G106" i="53244"/>
  <c r="F106" i="53244"/>
  <c r="E106" i="53244"/>
  <c r="L106" i="53244" s="1"/>
  <c r="L105" i="53244"/>
  <c r="G105" i="53244"/>
  <c r="I105" i="53244" s="1"/>
  <c r="F105" i="53244"/>
  <c r="H105" i="53244" s="1"/>
  <c r="J105" i="53244" s="1"/>
  <c r="E105" i="53244"/>
  <c r="I104" i="53244"/>
  <c r="G104" i="53244"/>
  <c r="F104" i="53244"/>
  <c r="E104" i="53244"/>
  <c r="H104" i="53244" s="1"/>
  <c r="J104" i="53244" s="1"/>
  <c r="G103" i="53244"/>
  <c r="F103" i="53244"/>
  <c r="I103" i="53244" s="1"/>
  <c r="E103" i="53244"/>
  <c r="L103" i="53244" s="1"/>
  <c r="M102" i="53244"/>
  <c r="K102" i="53244"/>
  <c r="F102" i="53244"/>
  <c r="I101" i="53244"/>
  <c r="G101" i="53244"/>
  <c r="F101" i="53244"/>
  <c r="E101" i="53244"/>
  <c r="H101" i="53244" s="1"/>
  <c r="J101" i="53244" s="1"/>
  <c r="G100" i="53244"/>
  <c r="F100" i="53244"/>
  <c r="I100" i="53244" s="1"/>
  <c r="E100" i="53244"/>
  <c r="L100" i="53244" s="1"/>
  <c r="H99" i="53244"/>
  <c r="G99" i="53244"/>
  <c r="I99" i="53244" s="1"/>
  <c r="F99" i="53244"/>
  <c r="E99" i="53244"/>
  <c r="L99" i="53244" s="1"/>
  <c r="L98" i="53244"/>
  <c r="G98" i="53244"/>
  <c r="F98" i="53244"/>
  <c r="H98" i="53244" s="1"/>
  <c r="E98" i="53244"/>
  <c r="I97" i="53244"/>
  <c r="G97" i="53244"/>
  <c r="F97" i="53244"/>
  <c r="E97" i="53244"/>
  <c r="H97" i="53244" s="1"/>
  <c r="J97" i="53244" s="1"/>
  <c r="G96" i="53244"/>
  <c r="F96" i="53244"/>
  <c r="I96" i="53244" s="1"/>
  <c r="E96" i="53244"/>
  <c r="L96" i="53244" s="1"/>
  <c r="H95" i="53244"/>
  <c r="G95" i="53244"/>
  <c r="I95" i="53244" s="1"/>
  <c r="F95" i="53244"/>
  <c r="E95" i="53244"/>
  <c r="L95" i="53244" s="1"/>
  <c r="L94" i="53244"/>
  <c r="G94" i="53244"/>
  <c r="F94" i="53244"/>
  <c r="H94" i="53244" s="1"/>
  <c r="E94" i="53244"/>
  <c r="I93" i="53244"/>
  <c r="G93" i="53244"/>
  <c r="F93" i="53244"/>
  <c r="E93" i="53244"/>
  <c r="H93" i="53244" s="1"/>
  <c r="J93" i="53244" s="1"/>
  <c r="G92" i="53244"/>
  <c r="F92" i="53244"/>
  <c r="I92" i="53244" s="1"/>
  <c r="E92" i="53244"/>
  <c r="L92" i="53244" s="1"/>
  <c r="H91" i="53244"/>
  <c r="G91" i="53244"/>
  <c r="I91" i="53244" s="1"/>
  <c r="F91" i="53244"/>
  <c r="E91" i="53244"/>
  <c r="L91" i="53244" s="1"/>
  <c r="L90" i="53244"/>
  <c r="G90" i="53244"/>
  <c r="F90" i="53244"/>
  <c r="H90" i="53244" s="1"/>
  <c r="E90" i="53244"/>
  <c r="I89" i="53244"/>
  <c r="G89" i="53244"/>
  <c r="F89" i="53244"/>
  <c r="E89" i="53244"/>
  <c r="H89" i="53244" s="1"/>
  <c r="J89" i="53244" s="1"/>
  <c r="G88" i="53244"/>
  <c r="F88" i="53244"/>
  <c r="I88" i="53244" s="1"/>
  <c r="E88" i="53244"/>
  <c r="L88" i="53244" s="1"/>
  <c r="H87" i="53244"/>
  <c r="G87" i="53244"/>
  <c r="I87" i="53244" s="1"/>
  <c r="F87" i="53244"/>
  <c r="E87" i="53244"/>
  <c r="L87" i="53244" s="1"/>
  <c r="L86" i="53244"/>
  <c r="G86" i="53244"/>
  <c r="F86" i="53244"/>
  <c r="H86" i="53244" s="1"/>
  <c r="E86" i="53244"/>
  <c r="I85" i="53244"/>
  <c r="G85" i="53244"/>
  <c r="F85" i="53244"/>
  <c r="E85" i="53244"/>
  <c r="H85" i="53244" s="1"/>
  <c r="J85" i="53244" s="1"/>
  <c r="G84" i="53244"/>
  <c r="F84" i="53244"/>
  <c r="I84" i="53244" s="1"/>
  <c r="E84" i="53244"/>
  <c r="L84" i="53244" s="1"/>
  <c r="H83" i="53244"/>
  <c r="G83" i="53244"/>
  <c r="I83" i="53244" s="1"/>
  <c r="F83" i="53244"/>
  <c r="E83" i="53244"/>
  <c r="L83" i="53244" s="1"/>
  <c r="L82" i="53244"/>
  <c r="G82" i="53244"/>
  <c r="F82" i="53244"/>
  <c r="H82" i="53244" s="1"/>
  <c r="E82" i="53244"/>
  <c r="I81" i="53244"/>
  <c r="G81" i="53244"/>
  <c r="F81" i="53244"/>
  <c r="E81" i="53244"/>
  <c r="H81" i="53244" s="1"/>
  <c r="J81" i="53244" s="1"/>
  <c r="G80" i="53244"/>
  <c r="F80" i="53244"/>
  <c r="I80" i="53244" s="1"/>
  <c r="E80" i="53244"/>
  <c r="L80" i="53244" s="1"/>
  <c r="H79" i="53244"/>
  <c r="G79" i="53244"/>
  <c r="I79" i="53244" s="1"/>
  <c r="F79" i="53244"/>
  <c r="E79" i="53244"/>
  <c r="L79" i="53244" s="1"/>
  <c r="L78" i="53244"/>
  <c r="G78" i="53244"/>
  <c r="F78" i="53244"/>
  <c r="H78" i="53244" s="1"/>
  <c r="E78" i="53244"/>
  <c r="I77" i="53244"/>
  <c r="G77" i="53244"/>
  <c r="F77" i="53244"/>
  <c r="E77" i="53244"/>
  <c r="H77" i="53244" s="1"/>
  <c r="J77" i="53244" s="1"/>
  <c r="G76" i="53244"/>
  <c r="F76" i="53244"/>
  <c r="I76" i="53244" s="1"/>
  <c r="E76" i="53244"/>
  <c r="L76" i="53244" s="1"/>
  <c r="H75" i="53244"/>
  <c r="G75" i="53244"/>
  <c r="I75" i="53244" s="1"/>
  <c r="F75" i="53244"/>
  <c r="E75" i="53244"/>
  <c r="L75" i="53244" s="1"/>
  <c r="L74" i="53244"/>
  <c r="G74" i="53244"/>
  <c r="F74" i="53244"/>
  <c r="H74" i="53244" s="1"/>
  <c r="E74" i="53244"/>
  <c r="I73" i="53244"/>
  <c r="G73" i="53244"/>
  <c r="F73" i="53244"/>
  <c r="E73" i="53244"/>
  <c r="H73" i="53244" s="1"/>
  <c r="J73" i="53244" s="1"/>
  <c r="G72" i="53244"/>
  <c r="F72" i="53244"/>
  <c r="I72" i="53244" s="1"/>
  <c r="E72" i="53244"/>
  <c r="L72" i="53244" s="1"/>
  <c r="H71" i="53244"/>
  <c r="G71" i="53244"/>
  <c r="I71" i="53244" s="1"/>
  <c r="F71" i="53244"/>
  <c r="E71" i="53244"/>
  <c r="L71" i="53244" s="1"/>
  <c r="L70" i="53244"/>
  <c r="G70" i="53244"/>
  <c r="F70" i="53244"/>
  <c r="H70" i="53244" s="1"/>
  <c r="E70" i="53244"/>
  <c r="I69" i="53244"/>
  <c r="G69" i="53244"/>
  <c r="F69" i="53244"/>
  <c r="E69" i="53244"/>
  <c r="H69" i="53244" s="1"/>
  <c r="J69" i="53244" s="1"/>
  <c r="F68" i="53244"/>
  <c r="E68" i="53244"/>
  <c r="L68" i="53244" s="1"/>
  <c r="L67" i="53244"/>
  <c r="H67" i="53244"/>
  <c r="G67" i="53244"/>
  <c r="I67" i="53244" s="1"/>
  <c r="F67" i="53244"/>
  <c r="E67" i="53244"/>
  <c r="L66" i="53244"/>
  <c r="H66" i="53244"/>
  <c r="G66" i="53244"/>
  <c r="F66" i="53244"/>
  <c r="E66" i="53244"/>
  <c r="L65" i="53244"/>
  <c r="G65" i="53244"/>
  <c r="I65" i="53244" s="1"/>
  <c r="F65" i="53244"/>
  <c r="E65" i="53244"/>
  <c r="M64" i="53244"/>
  <c r="L64" i="53244"/>
  <c r="G64" i="53244"/>
  <c r="I64" i="53244" s="1"/>
  <c r="F64" i="53244"/>
  <c r="E64" i="53244"/>
  <c r="I63" i="53244"/>
  <c r="H63" i="53244"/>
  <c r="J63" i="53244" s="1"/>
  <c r="G63" i="53244"/>
  <c r="F63" i="53244"/>
  <c r="E63" i="53244"/>
  <c r="L63" i="53244" s="1"/>
  <c r="L62" i="53244"/>
  <c r="I62" i="53244"/>
  <c r="G62" i="53244"/>
  <c r="F62" i="53244"/>
  <c r="E62" i="53244"/>
  <c r="H62" i="53244" s="1"/>
  <c r="J62" i="53244" s="1"/>
  <c r="L61" i="53244"/>
  <c r="H61" i="53244"/>
  <c r="J61" i="53244" s="1"/>
  <c r="G61" i="53244"/>
  <c r="I61" i="53244" s="1"/>
  <c r="F61" i="53244"/>
  <c r="E61" i="53244"/>
  <c r="L60" i="53244"/>
  <c r="G60" i="53244"/>
  <c r="I60" i="53244" s="1"/>
  <c r="F60" i="53244"/>
  <c r="E60" i="53244"/>
  <c r="I59" i="53244"/>
  <c r="H59" i="53244"/>
  <c r="J59" i="53244" s="1"/>
  <c r="G59" i="53244"/>
  <c r="F59" i="53244"/>
  <c r="E59" i="53244"/>
  <c r="L59" i="53244" s="1"/>
  <c r="L58" i="53244"/>
  <c r="I58" i="53244"/>
  <c r="G58" i="53244"/>
  <c r="F58" i="53244"/>
  <c r="E58" i="53244"/>
  <c r="H58" i="53244" s="1"/>
  <c r="J58" i="53244" s="1"/>
  <c r="L57" i="53244"/>
  <c r="H57" i="53244"/>
  <c r="F57" i="53244"/>
  <c r="E57" i="53244"/>
  <c r="L56" i="53244"/>
  <c r="G56" i="53244"/>
  <c r="I56" i="53244" s="1"/>
  <c r="F56" i="53244"/>
  <c r="E56" i="53244"/>
  <c r="M55" i="53244"/>
  <c r="K55" i="53244"/>
  <c r="F55" i="53244"/>
  <c r="D55" i="53244"/>
  <c r="L54" i="53244"/>
  <c r="H54" i="53244"/>
  <c r="J54" i="53244" s="1"/>
  <c r="G54" i="53244"/>
  <c r="I54" i="53244" s="1"/>
  <c r="F54" i="53244"/>
  <c r="E54" i="53244"/>
  <c r="L53" i="53244"/>
  <c r="G53" i="53244"/>
  <c r="I53" i="53244" s="1"/>
  <c r="F53" i="53244"/>
  <c r="E53" i="53244"/>
  <c r="I52" i="53244"/>
  <c r="H52" i="53244"/>
  <c r="J52" i="53244" s="1"/>
  <c r="G52" i="53244"/>
  <c r="F52" i="53244"/>
  <c r="E52" i="53244"/>
  <c r="L52" i="53244" s="1"/>
  <c r="L51" i="53244"/>
  <c r="I51" i="53244"/>
  <c r="G51" i="53244"/>
  <c r="F51" i="53244"/>
  <c r="E51" i="53244"/>
  <c r="H51" i="53244" s="1"/>
  <c r="J51" i="53244" s="1"/>
  <c r="L50" i="53244"/>
  <c r="H50" i="53244"/>
  <c r="J50" i="53244" s="1"/>
  <c r="G50" i="53244"/>
  <c r="I50" i="53244" s="1"/>
  <c r="F50" i="53244"/>
  <c r="E50" i="53244"/>
  <c r="L49" i="53244"/>
  <c r="F49" i="53244"/>
  <c r="E49" i="53244"/>
  <c r="I48" i="53244"/>
  <c r="H48" i="53244"/>
  <c r="J48" i="53244" s="1"/>
  <c r="G48" i="53244"/>
  <c r="F48" i="53244"/>
  <c r="E48" i="53244"/>
  <c r="L48" i="53244" s="1"/>
  <c r="L47" i="53244"/>
  <c r="I47" i="53244"/>
  <c r="G47" i="53244"/>
  <c r="F47" i="53244"/>
  <c r="E47" i="53244"/>
  <c r="H47" i="53244" s="1"/>
  <c r="J47" i="53244" s="1"/>
  <c r="H46" i="53244"/>
  <c r="J46" i="53244" s="1"/>
  <c r="G46" i="53244"/>
  <c r="I46" i="53244" s="1"/>
  <c r="F46" i="53244"/>
  <c r="E46" i="53244"/>
  <c r="L46" i="53244" s="1"/>
  <c r="L45" i="53244"/>
  <c r="G45" i="53244"/>
  <c r="I45" i="53244" s="1"/>
  <c r="F45" i="53244"/>
  <c r="H45" i="53244" s="1"/>
  <c r="J45" i="53244" s="1"/>
  <c r="E45" i="53244"/>
  <c r="G44" i="53244"/>
  <c r="F44" i="53244"/>
  <c r="I44" i="53244" s="1"/>
  <c r="E44" i="53244"/>
  <c r="H44" i="53244" s="1"/>
  <c r="J44" i="53244" s="1"/>
  <c r="I43" i="53244"/>
  <c r="G43" i="53244"/>
  <c r="F43" i="53244"/>
  <c r="E43" i="53244"/>
  <c r="H43" i="53244" s="1"/>
  <c r="J43" i="53244" s="1"/>
  <c r="L42" i="53244"/>
  <c r="H42" i="53244"/>
  <c r="G42" i="53244"/>
  <c r="I42" i="53244" s="1"/>
  <c r="F42" i="53244"/>
  <c r="E42" i="53244"/>
  <c r="L41" i="53244"/>
  <c r="G41" i="53244"/>
  <c r="I41" i="53244" s="1"/>
  <c r="F41" i="53244"/>
  <c r="H41" i="53244" s="1"/>
  <c r="J41" i="53244" s="1"/>
  <c r="E41" i="53244"/>
  <c r="G40" i="53244"/>
  <c r="F40" i="53244"/>
  <c r="I40" i="53244" s="1"/>
  <c r="E40" i="53244"/>
  <c r="H40" i="53244" s="1"/>
  <c r="J40" i="53244" s="1"/>
  <c r="I39" i="53244"/>
  <c r="G39" i="53244"/>
  <c r="F39" i="53244"/>
  <c r="E39" i="53244"/>
  <c r="H39" i="53244" s="1"/>
  <c r="J39" i="53244" s="1"/>
  <c r="L38" i="53244"/>
  <c r="H38" i="53244"/>
  <c r="G38" i="53244"/>
  <c r="I38" i="53244" s="1"/>
  <c r="F38" i="53244"/>
  <c r="E38" i="53244"/>
  <c r="L37" i="53244"/>
  <c r="G37" i="53244"/>
  <c r="I37" i="53244" s="1"/>
  <c r="F37" i="53244"/>
  <c r="H37" i="53244" s="1"/>
  <c r="J37" i="53244" s="1"/>
  <c r="E37" i="53244"/>
  <c r="G36" i="53244"/>
  <c r="F36" i="53244"/>
  <c r="I36" i="53244" s="1"/>
  <c r="E36" i="53244"/>
  <c r="H36" i="53244" s="1"/>
  <c r="J36" i="53244" s="1"/>
  <c r="I35" i="53244"/>
  <c r="G35" i="53244"/>
  <c r="F35" i="53244"/>
  <c r="E35" i="53244"/>
  <c r="H35" i="53244" s="1"/>
  <c r="J35" i="53244" s="1"/>
  <c r="L34" i="53244"/>
  <c r="H34" i="53244"/>
  <c r="G34" i="53244"/>
  <c r="I34" i="53244" s="1"/>
  <c r="F34" i="53244"/>
  <c r="E34" i="53244"/>
  <c r="L33" i="53244"/>
  <c r="G33" i="53244"/>
  <c r="I33" i="53244" s="1"/>
  <c r="F33" i="53244"/>
  <c r="H33" i="53244" s="1"/>
  <c r="J33" i="53244" s="1"/>
  <c r="E33" i="53244"/>
  <c r="G32" i="53244"/>
  <c r="F32" i="53244"/>
  <c r="I32" i="53244" s="1"/>
  <c r="E32" i="53244"/>
  <c r="H32" i="53244" s="1"/>
  <c r="J32" i="53244" s="1"/>
  <c r="I31" i="53244"/>
  <c r="G31" i="53244"/>
  <c r="F31" i="53244"/>
  <c r="E31" i="53244"/>
  <c r="H31" i="53244" s="1"/>
  <c r="J31" i="53244" s="1"/>
  <c r="L30" i="53244"/>
  <c r="H30" i="53244"/>
  <c r="G30" i="53244"/>
  <c r="I30" i="53244" s="1"/>
  <c r="F30" i="53244"/>
  <c r="E30" i="53244"/>
  <c r="L29" i="53244"/>
  <c r="G29" i="53244"/>
  <c r="I29" i="53244" s="1"/>
  <c r="F29" i="53244"/>
  <c r="H29" i="53244" s="1"/>
  <c r="J29" i="53244" s="1"/>
  <c r="E29" i="53244"/>
  <c r="G28" i="53244"/>
  <c r="F28" i="53244"/>
  <c r="I28" i="53244" s="1"/>
  <c r="E28" i="53244"/>
  <c r="H28" i="53244" s="1"/>
  <c r="J28" i="53244" s="1"/>
  <c r="I27" i="53244"/>
  <c r="G27" i="53244"/>
  <c r="F27" i="53244"/>
  <c r="E27" i="53244"/>
  <c r="H27" i="53244" s="1"/>
  <c r="J27" i="53244" s="1"/>
  <c r="L26" i="53244"/>
  <c r="H26" i="53244"/>
  <c r="G26" i="53244"/>
  <c r="I26" i="53244" s="1"/>
  <c r="F26" i="53244"/>
  <c r="E26" i="53244"/>
  <c r="L25" i="53244"/>
  <c r="G25" i="53244"/>
  <c r="I25" i="53244" s="1"/>
  <c r="F25" i="53244"/>
  <c r="H25" i="53244" s="1"/>
  <c r="J25" i="53244" s="1"/>
  <c r="E25" i="53244"/>
  <c r="G24" i="53244"/>
  <c r="F24" i="53244"/>
  <c r="I24" i="53244" s="1"/>
  <c r="E24" i="53244"/>
  <c r="H24" i="53244" s="1"/>
  <c r="M23" i="53244"/>
  <c r="K23" i="53244"/>
  <c r="D23" i="53244"/>
  <c r="L22" i="53244"/>
  <c r="G22" i="53244"/>
  <c r="I22" i="53244" s="1"/>
  <c r="F22" i="53244"/>
  <c r="H22" i="53244" s="1"/>
  <c r="J22" i="53244" s="1"/>
  <c r="E22" i="53244"/>
  <c r="G21" i="53244"/>
  <c r="F21" i="53244"/>
  <c r="I21" i="53244" s="1"/>
  <c r="E21" i="53244"/>
  <c r="H21" i="53244" s="1"/>
  <c r="J21" i="53244" s="1"/>
  <c r="I20" i="53244"/>
  <c r="G20" i="53244"/>
  <c r="F20" i="53244"/>
  <c r="E20" i="53244"/>
  <c r="H20" i="53244" s="1"/>
  <c r="J20" i="53244" s="1"/>
  <c r="L19" i="53244"/>
  <c r="H19" i="53244"/>
  <c r="F19" i="53244"/>
  <c r="E19" i="53244"/>
  <c r="L18" i="53244"/>
  <c r="F18" i="53244"/>
  <c r="H18" i="53244" s="1"/>
  <c r="E18" i="53244"/>
  <c r="G17" i="53244"/>
  <c r="F17" i="53244"/>
  <c r="I17" i="53244" s="1"/>
  <c r="E17" i="53244"/>
  <c r="L17" i="53244" s="1"/>
  <c r="I16" i="53244"/>
  <c r="G16" i="53244"/>
  <c r="F16" i="53244"/>
  <c r="E16" i="53244"/>
  <c r="H16" i="53244" s="1"/>
  <c r="J16" i="53244" s="1"/>
  <c r="L15" i="53244"/>
  <c r="H15" i="53244"/>
  <c r="G15" i="53244"/>
  <c r="I15" i="53244" s="1"/>
  <c r="F15" i="53244"/>
  <c r="E15" i="53244"/>
  <c r="L14" i="53244"/>
  <c r="G14" i="53244"/>
  <c r="I14" i="53244" s="1"/>
  <c r="F14" i="53244"/>
  <c r="H14" i="53244" s="1"/>
  <c r="J14" i="53244" s="1"/>
  <c r="E14" i="53244"/>
  <c r="G13" i="53244"/>
  <c r="F13" i="53244"/>
  <c r="I13" i="53244" s="1"/>
  <c r="E13" i="53244"/>
  <c r="H13" i="53244" s="1"/>
  <c r="J13" i="53244" s="1"/>
  <c r="I12" i="53244"/>
  <c r="G12" i="53244"/>
  <c r="F12" i="53244"/>
  <c r="E12" i="53244"/>
  <c r="H12" i="53244" s="1"/>
  <c r="J12" i="53244" s="1"/>
  <c r="L11" i="53244"/>
  <c r="H11" i="53244"/>
  <c r="G11" i="53244"/>
  <c r="I11" i="53244" s="1"/>
  <c r="F11" i="53244"/>
  <c r="E11" i="53244"/>
  <c r="L10" i="53244"/>
  <c r="G10" i="53244"/>
  <c r="I10" i="53244" s="1"/>
  <c r="F10" i="53244"/>
  <c r="H10" i="53244" s="1"/>
  <c r="J10" i="53244" s="1"/>
  <c r="E10" i="53244"/>
  <c r="G9" i="53244"/>
  <c r="F9" i="53244"/>
  <c r="I9" i="53244" s="1"/>
  <c r="E9" i="53244"/>
  <c r="H9" i="53244" s="1"/>
  <c r="J9" i="53244" s="1"/>
  <c r="I8" i="53244"/>
  <c r="G8" i="53244"/>
  <c r="F8" i="53244"/>
  <c r="E8" i="53244"/>
  <c r="H8" i="53244" s="1"/>
  <c r="J8" i="53244" s="1"/>
  <c r="L7" i="53244"/>
  <c r="H7" i="53244"/>
  <c r="G7" i="53244"/>
  <c r="I7" i="53244" s="1"/>
  <c r="F7" i="53244"/>
  <c r="E7" i="53244"/>
  <c r="L6" i="53244"/>
  <c r="G6" i="53244"/>
  <c r="I6" i="53244" s="1"/>
  <c r="F6" i="53244"/>
  <c r="H6" i="53244" s="1"/>
  <c r="J6" i="53244" s="1"/>
  <c r="E6" i="53244"/>
  <c r="G5" i="53244"/>
  <c r="F5" i="53244"/>
  <c r="I5" i="53244" s="1"/>
  <c r="E5" i="53244"/>
  <c r="H5" i="53244" s="1"/>
  <c r="M4" i="53244"/>
  <c r="K4" i="53244"/>
  <c r="D4" i="53244"/>
  <c r="J5" i="53239"/>
  <c r="J4" i="53239" s="1"/>
  <c r="H5" i="53239"/>
  <c r="E5" i="53239"/>
  <c r="D5" i="53239"/>
  <c r="F5" i="53239" s="1"/>
  <c r="C5" i="53239"/>
  <c r="H4" i="53239"/>
  <c r="G4" i="53239"/>
  <c r="E4" i="53239"/>
  <c r="D4" i="53239"/>
  <c r="C4" i="53239"/>
  <c r="J5" i="53244" l="1"/>
  <c r="J24" i="53244"/>
  <c r="J78" i="53244"/>
  <c r="J15" i="53244"/>
  <c r="J30" i="53244"/>
  <c r="J34" i="53244"/>
  <c r="J42" i="53244"/>
  <c r="J74" i="53244"/>
  <c r="J132" i="53244"/>
  <c r="I5" i="53239"/>
  <c r="I4" i="53239" s="1"/>
  <c r="F4" i="53239"/>
  <c r="J7" i="53244"/>
  <c r="J11" i="53244"/>
  <c r="J26" i="53244"/>
  <c r="J38" i="53244"/>
  <c r="J95" i="53244"/>
  <c r="L5" i="53244"/>
  <c r="L9" i="53244"/>
  <c r="L13" i="53244"/>
  <c r="L21" i="53244"/>
  <c r="L24" i="53244"/>
  <c r="L28" i="53244"/>
  <c r="L32" i="53244"/>
  <c r="L36" i="53244"/>
  <c r="L40" i="53244"/>
  <c r="L44" i="53244"/>
  <c r="I70" i="53244"/>
  <c r="J70" i="53244" s="1"/>
  <c r="I74" i="53244"/>
  <c r="I82" i="53244"/>
  <c r="J82" i="53244" s="1"/>
  <c r="I86" i="53244"/>
  <c r="J86" i="53244" s="1"/>
  <c r="I94" i="53244"/>
  <c r="J94" i="53244" s="1"/>
  <c r="H103" i="53244"/>
  <c r="L104" i="53244"/>
  <c r="H107" i="53244"/>
  <c r="J107" i="53244" s="1"/>
  <c r="L108" i="53244"/>
  <c r="I132" i="53244"/>
  <c r="E4" i="53244"/>
  <c r="L8" i="53244"/>
  <c r="L12" i="53244"/>
  <c r="L16" i="53244"/>
  <c r="H17" i="53244"/>
  <c r="J17" i="53244" s="1"/>
  <c r="L20" i="53244"/>
  <c r="E23" i="53244"/>
  <c r="L27" i="53244"/>
  <c r="L31" i="53244"/>
  <c r="L35" i="53244"/>
  <c r="L39" i="53244"/>
  <c r="L43" i="53244"/>
  <c r="H65" i="53244"/>
  <c r="J65" i="53244" s="1"/>
  <c r="I66" i="53244"/>
  <c r="J66" i="53244" s="1"/>
  <c r="H68" i="53244"/>
  <c r="L69" i="53244"/>
  <c r="L55" i="53244" s="1"/>
  <c r="H72" i="53244"/>
  <c r="J72" i="53244" s="1"/>
  <c r="L73" i="53244"/>
  <c r="H76" i="53244"/>
  <c r="J76" i="53244" s="1"/>
  <c r="L77" i="53244"/>
  <c r="H80" i="53244"/>
  <c r="J80" i="53244" s="1"/>
  <c r="L81" i="53244"/>
  <c r="H84" i="53244"/>
  <c r="J84" i="53244" s="1"/>
  <c r="L85" i="53244"/>
  <c r="H88" i="53244"/>
  <c r="J88" i="53244" s="1"/>
  <c r="L89" i="53244"/>
  <c r="H92" i="53244"/>
  <c r="J92" i="53244" s="1"/>
  <c r="L93" i="53244"/>
  <c r="H96" i="53244"/>
  <c r="J96" i="53244" s="1"/>
  <c r="L97" i="53244"/>
  <c r="H100" i="53244"/>
  <c r="J100" i="53244" s="1"/>
  <c r="L101" i="53244"/>
  <c r="H109" i="53244"/>
  <c r="J109" i="53244" s="1"/>
  <c r="H122" i="53244"/>
  <c r="J122" i="53244" s="1"/>
  <c r="I123" i="53244"/>
  <c r="J123" i="53244" s="1"/>
  <c r="H126" i="53244"/>
  <c r="J126" i="53244" s="1"/>
  <c r="L127" i="53244"/>
  <c r="L102" i="53244" s="1"/>
  <c r="H130" i="53244"/>
  <c r="J130" i="53244" s="1"/>
  <c r="L131" i="53244"/>
  <c r="H134" i="53244"/>
  <c r="J134" i="53244" s="1"/>
  <c r="E145" i="53244"/>
  <c r="I176" i="53244"/>
  <c r="J176" i="53244" s="1"/>
  <c r="I180" i="53244"/>
  <c r="J180" i="53244" s="1"/>
  <c r="I188" i="53244"/>
  <c r="J188" i="53244" s="1"/>
  <c r="I192" i="53244"/>
  <c r="J192" i="53244" s="1"/>
  <c r="H211" i="53244"/>
  <c r="J211" i="53244" s="1"/>
  <c r="L211" i="53244"/>
  <c r="J212" i="53244"/>
  <c r="H215" i="53244"/>
  <c r="J215" i="53244" s="1"/>
  <c r="L215" i="53244"/>
  <c r="J216" i="53244"/>
  <c r="H219" i="53244"/>
  <c r="J219" i="53244" s="1"/>
  <c r="L219" i="53244"/>
  <c r="J220" i="53244"/>
  <c r="H223" i="53244"/>
  <c r="J223" i="53244" s="1"/>
  <c r="L223" i="53244"/>
  <c r="J224" i="53244"/>
  <c r="H227" i="53244"/>
  <c r="J227" i="53244" s="1"/>
  <c r="L227" i="53244"/>
  <c r="J228" i="53244"/>
  <c r="H231" i="53244"/>
  <c r="J231" i="53244" s="1"/>
  <c r="L231" i="53244"/>
  <c r="J232" i="53244"/>
  <c r="H235" i="53244"/>
  <c r="J235" i="53244" s="1"/>
  <c r="L235" i="53244"/>
  <c r="J236" i="53244"/>
  <c r="H239" i="53244"/>
  <c r="J239" i="53244" s="1"/>
  <c r="L239" i="53244"/>
  <c r="J240" i="53244"/>
  <c r="H243" i="53244"/>
  <c r="J243" i="53244" s="1"/>
  <c r="L243" i="53244"/>
  <c r="J244" i="53244"/>
  <c r="H247" i="53244"/>
  <c r="L247" i="53244"/>
  <c r="J248" i="53244"/>
  <c r="H251" i="53244"/>
  <c r="I259" i="53244"/>
  <c r="J339" i="53244"/>
  <c r="F4" i="53244"/>
  <c r="F23" i="53244"/>
  <c r="H49" i="53244"/>
  <c r="H23" i="53244" s="1"/>
  <c r="H53" i="53244"/>
  <c r="J53" i="53244" s="1"/>
  <c r="H56" i="53244"/>
  <c r="E55" i="53244"/>
  <c r="H60" i="53244"/>
  <c r="J60" i="53244" s="1"/>
  <c r="H64" i="53244"/>
  <c r="J64" i="53244" s="1"/>
  <c r="E102" i="53244"/>
  <c r="H106" i="53244"/>
  <c r="J106" i="53244" s="1"/>
  <c r="H113" i="53244"/>
  <c r="J113" i="53244" s="1"/>
  <c r="H117" i="53244"/>
  <c r="H121" i="53244"/>
  <c r="J121" i="53244" s="1"/>
  <c r="H125" i="53244"/>
  <c r="J125" i="53244" s="1"/>
  <c r="H136" i="53244"/>
  <c r="J136" i="53244" s="1"/>
  <c r="H140" i="53244"/>
  <c r="J140" i="53244" s="1"/>
  <c r="H144" i="53244"/>
  <c r="J144" i="53244" s="1"/>
  <c r="H147" i="53244"/>
  <c r="J147" i="53244" s="1"/>
  <c r="H151" i="53244"/>
  <c r="J151" i="53244" s="1"/>
  <c r="H155" i="53244"/>
  <c r="J155" i="53244" s="1"/>
  <c r="H159" i="53244"/>
  <c r="J159" i="53244" s="1"/>
  <c r="H163" i="53244"/>
  <c r="H167" i="53244"/>
  <c r="J167" i="53244" s="1"/>
  <c r="H171" i="53244"/>
  <c r="J171" i="53244" s="1"/>
  <c r="L175" i="53244"/>
  <c r="H175" i="53244"/>
  <c r="J175" i="53244" s="1"/>
  <c r="L179" i="53244"/>
  <c r="H179" i="53244"/>
  <c r="J179" i="53244" s="1"/>
  <c r="L183" i="53244"/>
  <c r="H183" i="53244"/>
  <c r="J183" i="53244" s="1"/>
  <c r="L187" i="53244"/>
  <c r="H187" i="53244"/>
  <c r="J187" i="53244" s="1"/>
  <c r="L191" i="53244"/>
  <c r="H191" i="53244"/>
  <c r="J191" i="53244" s="1"/>
  <c r="H195" i="53244"/>
  <c r="J195" i="53244" s="1"/>
  <c r="L195" i="53244"/>
  <c r="H199" i="53244"/>
  <c r="L199" i="53244"/>
  <c r="H203" i="53244"/>
  <c r="L203" i="53244"/>
  <c r="H207" i="53244"/>
  <c r="L207" i="53244"/>
  <c r="J75" i="53244"/>
  <c r="J83" i="53244"/>
  <c r="J87" i="53244"/>
  <c r="J99" i="53244"/>
  <c r="J129" i="53244"/>
  <c r="J133" i="53244"/>
  <c r="L213" i="53244"/>
  <c r="L217" i="53244"/>
  <c r="L221" i="53244"/>
  <c r="L225" i="53244"/>
  <c r="L229" i="53244"/>
  <c r="L233" i="53244"/>
  <c r="L237" i="53244"/>
  <c r="L241" i="53244"/>
  <c r="I243" i="53244"/>
  <c r="J245" i="53244"/>
  <c r="L245" i="53244"/>
  <c r="I247" i="53244"/>
  <c r="J249" i="53244"/>
  <c r="L249" i="53244"/>
  <c r="I251" i="53244"/>
  <c r="J71" i="53244"/>
  <c r="J79" i="53244"/>
  <c r="J91" i="53244"/>
  <c r="J67" i="53244"/>
  <c r="I78" i="53244"/>
  <c r="I90" i="53244"/>
  <c r="J90" i="53244" s="1"/>
  <c r="I98" i="53244"/>
  <c r="J98" i="53244" s="1"/>
  <c r="J124" i="53244"/>
  <c r="I128" i="53244"/>
  <c r="J128" i="53244" s="1"/>
  <c r="I195" i="53244"/>
  <c r="J197" i="53244"/>
  <c r="L197" i="53244"/>
  <c r="L145" i="53244" s="1"/>
  <c r="I199" i="53244"/>
  <c r="J201" i="53244"/>
  <c r="L201" i="53244"/>
  <c r="I203" i="53244"/>
  <c r="J205" i="53244"/>
  <c r="L205" i="53244"/>
  <c r="I207" i="53244"/>
  <c r="J410" i="53244"/>
  <c r="J414" i="53244"/>
  <c r="E304" i="53244"/>
  <c r="E337" i="53244"/>
  <c r="F337" i="53244"/>
  <c r="H385" i="53244"/>
  <c r="J385" i="53244" s="1"/>
  <c r="I386" i="53244"/>
  <c r="J386" i="53244" s="1"/>
  <c r="H389" i="53244"/>
  <c r="J389" i="53244" s="1"/>
  <c r="I390" i="53244"/>
  <c r="J390" i="53244" s="1"/>
  <c r="H393" i="53244"/>
  <c r="J393" i="53244" s="1"/>
  <c r="I394" i="53244"/>
  <c r="J394" i="53244" s="1"/>
  <c r="H397" i="53244"/>
  <c r="J397" i="53244" s="1"/>
  <c r="L397" i="53244"/>
  <c r="L337" i="53244" s="1"/>
  <c r="I402" i="53244"/>
  <c r="J402" i="53244" s="1"/>
  <c r="J407" i="53244"/>
  <c r="L409" i="53244"/>
  <c r="H409" i="53244"/>
  <c r="J409" i="53244" s="1"/>
  <c r="J412" i="53244"/>
  <c r="J459" i="53244"/>
  <c r="J467" i="53244"/>
  <c r="J469" i="53244"/>
  <c r="J501" i="53244"/>
  <c r="J517" i="53244"/>
  <c r="H255" i="53244"/>
  <c r="J255" i="53244" s="1"/>
  <c r="H259" i="53244"/>
  <c r="J259" i="53244" s="1"/>
  <c r="H263" i="53244"/>
  <c r="J263" i="53244" s="1"/>
  <c r="H267" i="53244"/>
  <c r="J267" i="53244" s="1"/>
  <c r="H271" i="53244"/>
  <c r="J271" i="53244" s="1"/>
  <c r="H275" i="53244"/>
  <c r="J275" i="53244" s="1"/>
  <c r="H279" i="53244"/>
  <c r="J279" i="53244" s="1"/>
  <c r="H283" i="53244"/>
  <c r="J283" i="53244" s="1"/>
  <c r="H287" i="53244"/>
  <c r="J287" i="53244" s="1"/>
  <c r="H291" i="53244"/>
  <c r="J291" i="53244" s="1"/>
  <c r="H295" i="53244"/>
  <c r="J295" i="53244" s="1"/>
  <c r="H299" i="53244"/>
  <c r="J299" i="53244" s="1"/>
  <c r="H303" i="53244"/>
  <c r="J303" i="53244" s="1"/>
  <c r="H306" i="53244"/>
  <c r="H304" i="53244" s="1"/>
  <c r="H310" i="53244"/>
  <c r="J310" i="53244" s="1"/>
  <c r="H314" i="53244"/>
  <c r="J314" i="53244" s="1"/>
  <c r="H318" i="53244"/>
  <c r="J318" i="53244" s="1"/>
  <c r="H322" i="53244"/>
  <c r="J322" i="53244" s="1"/>
  <c r="H326" i="53244"/>
  <c r="J326" i="53244" s="1"/>
  <c r="H330" i="53244"/>
  <c r="J330" i="53244" s="1"/>
  <c r="H334" i="53244"/>
  <c r="J334" i="53244" s="1"/>
  <c r="H341" i="53244"/>
  <c r="J341" i="53244" s="1"/>
  <c r="H345" i="53244"/>
  <c r="J345" i="53244" s="1"/>
  <c r="H349" i="53244"/>
  <c r="H353" i="53244"/>
  <c r="J353" i="53244" s="1"/>
  <c r="H357" i="53244"/>
  <c r="J357" i="53244" s="1"/>
  <c r="H361" i="53244"/>
  <c r="J361" i="53244" s="1"/>
  <c r="H365" i="53244"/>
  <c r="J365" i="53244" s="1"/>
  <c r="H369" i="53244"/>
  <c r="J369" i="53244" s="1"/>
  <c r="H373" i="53244"/>
  <c r="J373" i="53244" s="1"/>
  <c r="H377" i="53244"/>
  <c r="J377" i="53244" s="1"/>
  <c r="H381" i="53244"/>
  <c r="J381" i="53244" s="1"/>
  <c r="H388" i="53244"/>
  <c r="J388" i="53244" s="1"/>
  <c r="H392" i="53244"/>
  <c r="J392" i="53244" s="1"/>
  <c r="H396" i="53244"/>
  <c r="J396" i="53244" s="1"/>
  <c r="L413" i="53244"/>
  <c r="H413" i="53244"/>
  <c r="J413" i="53244" s="1"/>
  <c r="J445" i="53244"/>
  <c r="J477" i="53244"/>
  <c r="J493" i="53244"/>
  <c r="J526" i="53244"/>
  <c r="L401" i="53244"/>
  <c r="H401" i="53244"/>
  <c r="J401" i="53244" s="1"/>
  <c r="I410" i="53244"/>
  <c r="L304" i="53244"/>
  <c r="J387" i="53244"/>
  <c r="J391" i="53244"/>
  <c r="J395" i="53244"/>
  <c r="I398" i="53244"/>
  <c r="J398" i="53244" s="1"/>
  <c r="J403" i="53244"/>
  <c r="L405" i="53244"/>
  <c r="H405" i="53244"/>
  <c r="J405" i="53244" s="1"/>
  <c r="J408" i="53244"/>
  <c r="I414" i="53244"/>
  <c r="J447" i="53244"/>
  <c r="J455" i="53244"/>
  <c r="J485" i="53244"/>
  <c r="J505" i="53244"/>
  <c r="J551" i="53244"/>
  <c r="H417" i="53244"/>
  <c r="J417" i="53244" s="1"/>
  <c r="H421" i="53244"/>
  <c r="J421" i="53244" s="1"/>
  <c r="H425" i="53244"/>
  <c r="J425" i="53244" s="1"/>
  <c r="H430" i="53244"/>
  <c r="J430" i="53244" s="1"/>
  <c r="H434" i="53244"/>
  <c r="J434" i="53244" s="1"/>
  <c r="H438" i="53244"/>
  <c r="J438" i="53244" s="1"/>
  <c r="H440" i="53244"/>
  <c r="J440" i="53244" s="1"/>
  <c r="I441" i="53244"/>
  <c r="J441" i="53244" s="1"/>
  <c r="H444" i="53244"/>
  <c r="J444" i="53244" s="1"/>
  <c r="I445" i="53244"/>
  <c r="H448" i="53244"/>
  <c r="J448" i="53244" s="1"/>
  <c r="I449" i="53244"/>
  <c r="J449" i="53244" s="1"/>
  <c r="H452" i="53244"/>
  <c r="J452" i="53244" s="1"/>
  <c r="I453" i="53244"/>
  <c r="J453" i="53244" s="1"/>
  <c r="H456" i="53244"/>
  <c r="J456" i="53244" s="1"/>
  <c r="H460" i="53244"/>
  <c r="J460" i="53244" s="1"/>
  <c r="I461" i="53244"/>
  <c r="J461" i="53244" s="1"/>
  <c r="H464" i="53244"/>
  <c r="J464" i="53244" s="1"/>
  <c r="I465" i="53244"/>
  <c r="J465" i="53244" s="1"/>
  <c r="H468" i="53244"/>
  <c r="J468" i="53244" s="1"/>
  <c r="I469" i="53244"/>
  <c r="H472" i="53244"/>
  <c r="J472" i="53244" s="1"/>
  <c r="I473" i="53244"/>
  <c r="J473" i="53244" s="1"/>
  <c r="H476" i="53244"/>
  <c r="J476" i="53244" s="1"/>
  <c r="I477" i="53244"/>
  <c r="H480" i="53244"/>
  <c r="J480" i="53244" s="1"/>
  <c r="I481" i="53244"/>
  <c r="J481" i="53244" s="1"/>
  <c r="H484" i="53244"/>
  <c r="J484" i="53244" s="1"/>
  <c r="I485" i="53244"/>
  <c r="H488" i="53244"/>
  <c r="J488" i="53244" s="1"/>
  <c r="I489" i="53244"/>
  <c r="J489" i="53244" s="1"/>
  <c r="H492" i="53244"/>
  <c r="J492" i="53244" s="1"/>
  <c r="I493" i="53244"/>
  <c r="D496" i="53244"/>
  <c r="H497" i="53244"/>
  <c r="H500" i="53244"/>
  <c r="J500" i="53244" s="1"/>
  <c r="L501" i="53244"/>
  <c r="H504" i="53244"/>
  <c r="J504" i="53244" s="1"/>
  <c r="L505" i="53244"/>
  <c r="L496" i="53244" s="1"/>
  <c r="H508" i="53244"/>
  <c r="J508" i="53244" s="1"/>
  <c r="L509" i="53244"/>
  <c r="H512" i="53244"/>
  <c r="J512" i="53244" s="1"/>
  <c r="L513" i="53244"/>
  <c r="H516" i="53244"/>
  <c r="J516" i="53244" s="1"/>
  <c r="L517" i="53244"/>
  <c r="H520" i="53244"/>
  <c r="J520" i="53244" s="1"/>
  <c r="J523" i="53244"/>
  <c r="J527" i="53244"/>
  <c r="H530" i="53244"/>
  <c r="J530" i="53244" s="1"/>
  <c r="J533" i="53244"/>
  <c r="J540" i="53244"/>
  <c r="J544" i="53244"/>
  <c r="J548" i="53244"/>
  <c r="J552" i="53244"/>
  <c r="J556" i="53244"/>
  <c r="J560" i="53244"/>
  <c r="J564" i="53244"/>
  <c r="J567" i="53244"/>
  <c r="J572" i="53244"/>
  <c r="J575" i="53244"/>
  <c r="H499" i="53244"/>
  <c r="J499" i="53244" s="1"/>
  <c r="D579" i="53244"/>
  <c r="K579" i="53244"/>
  <c r="H561" i="53244"/>
  <c r="J561" i="53244" s="1"/>
  <c r="H427" i="53244"/>
  <c r="J427" i="53244" s="1"/>
  <c r="L428" i="53244"/>
  <c r="H431" i="53244"/>
  <c r="J431" i="53244" s="1"/>
  <c r="L432" i="53244"/>
  <c r="H435" i="53244"/>
  <c r="J435" i="53244" s="1"/>
  <c r="L436" i="53244"/>
  <c r="J503" i="53244"/>
  <c r="J507" i="53244"/>
  <c r="J511" i="53244"/>
  <c r="J515" i="53244"/>
  <c r="J519" i="53244"/>
  <c r="I522" i="53244"/>
  <c r="J522" i="53244" s="1"/>
  <c r="I526" i="53244"/>
  <c r="I532" i="53244"/>
  <c r="J532" i="53244" s="1"/>
  <c r="I536" i="53244"/>
  <c r="J536" i="53244" s="1"/>
  <c r="F537" i="53244"/>
  <c r="F579" i="53244" s="1"/>
  <c r="I539" i="53244"/>
  <c r="J539" i="53244" s="1"/>
  <c r="I543" i="53244"/>
  <c r="J543" i="53244" s="1"/>
  <c r="I547" i="53244"/>
  <c r="J547" i="53244" s="1"/>
  <c r="I551" i="53244"/>
  <c r="I555" i="53244"/>
  <c r="J555" i="53244" s="1"/>
  <c r="J571" i="53244"/>
  <c r="J578" i="53244"/>
  <c r="J442" i="53244"/>
  <c r="J446" i="53244"/>
  <c r="J450" i="53244"/>
  <c r="J454" i="53244"/>
  <c r="J458" i="53244"/>
  <c r="J462" i="53244"/>
  <c r="J466" i="53244"/>
  <c r="J470" i="53244"/>
  <c r="J474" i="53244"/>
  <c r="J478" i="53244"/>
  <c r="J482" i="53244"/>
  <c r="J486" i="53244"/>
  <c r="J490" i="53244"/>
  <c r="J494" i="53244"/>
  <c r="G496" i="53244"/>
  <c r="I502" i="53244"/>
  <c r="J502" i="53244" s="1"/>
  <c r="I506" i="53244"/>
  <c r="J506" i="53244" s="1"/>
  <c r="I510" i="53244"/>
  <c r="J510" i="53244" s="1"/>
  <c r="I514" i="53244"/>
  <c r="J514" i="53244" s="1"/>
  <c r="I518" i="53244"/>
  <c r="J518" i="53244" s="1"/>
  <c r="L521" i="53244"/>
  <c r="H521" i="53244"/>
  <c r="J521" i="53244" s="1"/>
  <c r="L525" i="53244"/>
  <c r="H525" i="53244"/>
  <c r="J525" i="53244" s="1"/>
  <c r="L529" i="53244"/>
  <c r="H529" i="53244"/>
  <c r="J529" i="53244" s="1"/>
  <c r="L531" i="53244"/>
  <c r="H531" i="53244"/>
  <c r="J531" i="53244" s="1"/>
  <c r="L535" i="53244"/>
  <c r="H535" i="53244"/>
  <c r="J535" i="53244" s="1"/>
  <c r="G537" i="53244"/>
  <c r="L538" i="53244"/>
  <c r="H538" i="53244"/>
  <c r="E537" i="53244"/>
  <c r="E579" i="53244" s="1"/>
  <c r="L542" i="53244"/>
  <c r="H542" i="53244"/>
  <c r="J542" i="53244" s="1"/>
  <c r="L546" i="53244"/>
  <c r="H546" i="53244"/>
  <c r="J546" i="53244" s="1"/>
  <c r="L550" i="53244"/>
  <c r="H550" i="53244"/>
  <c r="J550" i="53244" s="1"/>
  <c r="L554" i="53244"/>
  <c r="H554" i="53244"/>
  <c r="J554" i="53244" s="1"/>
  <c r="L558" i="53244"/>
  <c r="H558" i="53244"/>
  <c r="J558" i="53244" s="1"/>
  <c r="L562" i="53244"/>
  <c r="H562" i="53244"/>
  <c r="J562" i="53244" s="1"/>
  <c r="L566" i="53244"/>
  <c r="H566" i="53244"/>
  <c r="J566" i="53244" s="1"/>
  <c r="M579" i="53244"/>
  <c r="H570" i="53244"/>
  <c r="J570" i="53244" s="1"/>
  <c r="H574" i="53244"/>
  <c r="J574" i="53244" s="1"/>
  <c r="AF22" i="53245"/>
  <c r="AF578" i="53245" s="1"/>
  <c r="E578" i="53245"/>
  <c r="I578" i="53245"/>
  <c r="M578" i="53245"/>
  <c r="Q578" i="53245"/>
  <c r="U578" i="53245"/>
  <c r="Y578" i="53245"/>
  <c r="AC578" i="53245"/>
  <c r="AG578" i="53245"/>
  <c r="D54" i="53246"/>
  <c r="D101" i="53246"/>
  <c r="D578" i="53246"/>
  <c r="I578" i="53244"/>
  <c r="D578" i="53245"/>
  <c r="H578" i="53245"/>
  <c r="L578" i="53245"/>
  <c r="P578" i="53245"/>
  <c r="T578" i="53245"/>
  <c r="X578" i="53245"/>
  <c r="AB578" i="53245"/>
  <c r="C23" i="53254"/>
  <c r="AI54" i="53246"/>
  <c r="AI578" i="53246" s="1"/>
  <c r="J22" i="53253"/>
  <c r="N22" i="53253"/>
  <c r="D56" i="53253"/>
  <c r="G57" i="53244" s="1"/>
  <c r="D67" i="53253"/>
  <c r="G68" i="53244" s="1"/>
  <c r="I68" i="53244" s="1"/>
  <c r="D132" i="53253"/>
  <c r="G133" i="53244" s="1"/>
  <c r="I133" i="53244" s="1"/>
  <c r="D134" i="53253"/>
  <c r="G135" i="53244" s="1"/>
  <c r="I135" i="53244" s="1"/>
  <c r="J135" i="53244" s="1"/>
  <c r="AA144" i="53253"/>
  <c r="AA578" i="53253" s="1"/>
  <c r="M144" i="53253"/>
  <c r="M578" i="53253" s="1"/>
  <c r="AG144" i="53253"/>
  <c r="AE303" i="53253"/>
  <c r="D305" i="53253"/>
  <c r="AF336" i="53253"/>
  <c r="AF578" i="53253" s="1"/>
  <c r="D342" i="53253"/>
  <c r="O336" i="53253"/>
  <c r="D348" i="53253"/>
  <c r="G349" i="53244" s="1"/>
  <c r="I349" i="53244" s="1"/>
  <c r="I336" i="53253"/>
  <c r="I578" i="53253" s="1"/>
  <c r="Q578" i="53253"/>
  <c r="U578" i="53253"/>
  <c r="Y578" i="53253"/>
  <c r="D119" i="53246"/>
  <c r="E120" i="53244" s="1"/>
  <c r="L120" i="53244" s="1"/>
  <c r="D17" i="53253"/>
  <c r="G18" i="53244" s="1"/>
  <c r="D48" i="53253"/>
  <c r="G49" i="53244" s="1"/>
  <c r="D119" i="53253"/>
  <c r="G120" i="53244" s="1"/>
  <c r="I120" i="53244" s="1"/>
  <c r="X144" i="53253"/>
  <c r="D162" i="53253"/>
  <c r="G163" i="53244" s="1"/>
  <c r="D208" i="53253"/>
  <c r="G209" i="53244" s="1"/>
  <c r="I209" i="53244" s="1"/>
  <c r="J209" i="53244" s="1"/>
  <c r="D345" i="53253"/>
  <c r="G346" i="53244" s="1"/>
  <c r="I346" i="53244" s="1"/>
  <c r="J346" i="53244" s="1"/>
  <c r="AA336" i="53253"/>
  <c r="F578" i="53253"/>
  <c r="J578" i="53253"/>
  <c r="N578" i="53253"/>
  <c r="R578" i="53253"/>
  <c r="Z578" i="53253"/>
  <c r="AD578" i="53253"/>
  <c r="AH578" i="53253"/>
  <c r="D116" i="53253"/>
  <c r="G117" i="53244" s="1"/>
  <c r="I117" i="53244" s="1"/>
  <c r="I102" i="53244" s="1"/>
  <c r="AD101" i="53253"/>
  <c r="D183" i="53253"/>
  <c r="G184" i="53244" s="1"/>
  <c r="I184" i="53244" s="1"/>
  <c r="J184" i="53244" s="1"/>
  <c r="AC144" i="53253"/>
  <c r="D438" i="53253"/>
  <c r="G439" i="53244" s="1"/>
  <c r="I439" i="53244" s="1"/>
  <c r="J439" i="53244" s="1"/>
  <c r="G336" i="53253"/>
  <c r="G578" i="53253"/>
  <c r="K578" i="53253"/>
  <c r="S578" i="53253"/>
  <c r="W578" i="53253"/>
  <c r="AE578" i="53253"/>
  <c r="AI578" i="53253"/>
  <c r="X3" i="53253"/>
  <c r="X578" i="53253" s="1"/>
  <c r="D18" i="53253"/>
  <c r="G19" i="53244" s="1"/>
  <c r="I19" i="53244" s="1"/>
  <c r="J19" i="53244" s="1"/>
  <c r="O22" i="53253"/>
  <c r="O54" i="53253"/>
  <c r="O578" i="53253" s="1"/>
  <c r="V54" i="53253"/>
  <c r="V578" i="53253" s="1"/>
  <c r="E101" i="53253"/>
  <c r="Z144" i="53253"/>
  <c r="E303" i="53253"/>
  <c r="D334" i="53253"/>
  <c r="G335" i="53244" s="1"/>
  <c r="I335" i="53244" s="1"/>
  <c r="J335" i="53244" s="1"/>
  <c r="X303" i="53253"/>
  <c r="H336" i="53253"/>
  <c r="H578" i="53253" s="1"/>
  <c r="D383" i="53253"/>
  <c r="G384" i="53244" s="1"/>
  <c r="I384" i="53244" s="1"/>
  <c r="J384" i="53244" s="1"/>
  <c r="L578" i="53253"/>
  <c r="P578" i="53253"/>
  <c r="T578" i="53253"/>
  <c r="AB578" i="53253"/>
  <c r="D456" i="53253"/>
  <c r="G457" i="53244" s="1"/>
  <c r="I457" i="53244" s="1"/>
  <c r="J457" i="53244" s="1"/>
  <c r="W336" i="53253"/>
  <c r="E336" i="53253"/>
  <c r="E578" i="53253" s="1"/>
  <c r="AC336" i="53253"/>
  <c r="AC578" i="53253" s="1"/>
  <c r="AG336" i="53253"/>
  <c r="AG578" i="53253" s="1"/>
  <c r="G23" i="53244" l="1"/>
  <c r="I49" i="53244"/>
  <c r="I23" i="53244" s="1"/>
  <c r="D22" i="53253"/>
  <c r="G145" i="53244"/>
  <c r="I163" i="53244"/>
  <c r="I145" i="53244" s="1"/>
  <c r="J349" i="53244"/>
  <c r="D336" i="53253"/>
  <c r="G343" i="53244"/>
  <c r="H537" i="53244"/>
  <c r="J538" i="53244"/>
  <c r="J537" i="53244" s="1"/>
  <c r="I537" i="53244"/>
  <c r="I496" i="53244"/>
  <c r="H120" i="53244"/>
  <c r="J120" i="53244" s="1"/>
  <c r="H337" i="53244"/>
  <c r="H102" i="53244"/>
  <c r="J103" i="53244"/>
  <c r="D144" i="53253"/>
  <c r="D101" i="53253"/>
  <c r="L537" i="53244"/>
  <c r="G102" i="53244"/>
  <c r="H145" i="53244"/>
  <c r="J207" i="53244"/>
  <c r="J199" i="53244"/>
  <c r="J56" i="53244"/>
  <c r="H55" i="53244"/>
  <c r="J68" i="53244"/>
  <c r="D303" i="53253"/>
  <c r="G306" i="53244"/>
  <c r="D54" i="53253"/>
  <c r="J497" i="53244"/>
  <c r="J496" i="53244" s="1"/>
  <c r="H496" i="53244"/>
  <c r="J117" i="53244"/>
  <c r="J247" i="53244"/>
  <c r="I57" i="53244"/>
  <c r="G55" i="53244"/>
  <c r="G4" i="53244"/>
  <c r="I18" i="53244"/>
  <c r="D3" i="53253"/>
  <c r="J203" i="53244"/>
  <c r="J49" i="53244"/>
  <c r="J23" i="53244" s="1"/>
  <c r="J251" i="53244"/>
  <c r="L23" i="53244"/>
  <c r="L4" i="53244"/>
  <c r="H4" i="53244"/>
  <c r="I4" i="53244" l="1"/>
  <c r="J18" i="53244"/>
  <c r="J4" i="53244" s="1"/>
  <c r="J163" i="53244"/>
  <c r="J145" i="53244" s="1"/>
  <c r="I55" i="53244"/>
  <c r="J57" i="53244"/>
  <c r="J55" i="53244" s="1"/>
  <c r="G304" i="53244"/>
  <c r="I306" i="53244"/>
  <c r="J102" i="53244"/>
  <c r="H579" i="53244"/>
  <c r="L579" i="53244"/>
  <c r="I343" i="53244"/>
  <c r="G337" i="53244"/>
  <c r="G579" i="53244" s="1"/>
  <c r="D578" i="53253"/>
  <c r="I304" i="53244" l="1"/>
  <c r="J306" i="53244"/>
  <c r="J304" i="53244" s="1"/>
  <c r="I337" i="53244"/>
  <c r="J343" i="53244"/>
  <c r="J337" i="53244" s="1"/>
  <c r="J579" i="53244" s="1"/>
  <c r="I579" i="53244" l="1"/>
</calcChain>
</file>

<file path=xl/sharedStrings.xml><?xml version="1.0" encoding="utf-8"?>
<sst xmlns="http://schemas.openxmlformats.org/spreadsheetml/2006/main" count="4810" uniqueCount="1230">
  <si>
    <t>MODELS</t>
  </si>
  <si>
    <t>MODEL</t>
  </si>
  <si>
    <t>CUSTOMER</t>
  </si>
  <si>
    <t>DATE</t>
  </si>
  <si>
    <t>QTY</t>
  </si>
  <si>
    <t>VEHICLE NO</t>
  </si>
  <si>
    <t>TRANSPORT</t>
  </si>
  <si>
    <t>PHONE NO</t>
  </si>
  <si>
    <t>MOBILE NO</t>
  </si>
  <si>
    <t>DETAIL OF OEM DESPATCHES MAR - 05</t>
  </si>
  <si>
    <t>DETAIL OF OEM DESPATCHES APRIL - 05</t>
  </si>
  <si>
    <t>WIP</t>
  </si>
  <si>
    <t>LOT BAL MI LINE</t>
  </si>
  <si>
    <t>KIT RECEIVED FROM STORE</t>
  </si>
  <si>
    <t>EXCISE DISPATCH</t>
  </si>
  <si>
    <t>LAST DAY  DISPATCH</t>
  </si>
  <si>
    <t>SUMO-ULTRA 136</t>
  </si>
  <si>
    <t>S.N0</t>
  </si>
  <si>
    <t xml:space="preserve">O/P KIT STOCK </t>
  </si>
  <si>
    <t>MI FIG</t>
  </si>
  <si>
    <t>KIT</t>
  </si>
  <si>
    <t>S.NO</t>
  </si>
  <si>
    <t xml:space="preserve">                   M.I. KIT STATUS BALLAST FEB'13</t>
  </si>
  <si>
    <t>01.03.2013</t>
  </si>
  <si>
    <t>DATE:-31/03/2013</t>
  </si>
  <si>
    <t>MODEL NAME</t>
  </si>
  <si>
    <t>TTL DESP</t>
  </si>
  <si>
    <t>L2PCB RECD</t>
  </si>
  <si>
    <t>Kit Required</t>
  </si>
  <si>
    <t>Driver Recvd</t>
  </si>
  <si>
    <t>Month Plan</t>
  </si>
  <si>
    <t>Sr. No.</t>
  </si>
  <si>
    <t>Total PACK PROD</t>
  </si>
  <si>
    <t>TEJAS 5W LED BULB 6500K B22</t>
  </si>
  <si>
    <t>TEJAS 7W LED BULB 6500K B22</t>
  </si>
  <si>
    <t>TEJAS 9W LED BULB 6500K B22</t>
  </si>
  <si>
    <t>GARNET 3W LED BULB 6500K B22</t>
  </si>
  <si>
    <t>3W LED BULB 6500K</t>
  </si>
  <si>
    <t>4.5W LED BULB 6500K</t>
  </si>
  <si>
    <t>7W LED BULB 6500K</t>
  </si>
  <si>
    <t>9W LED BULB 6500K</t>
  </si>
  <si>
    <t>12W LED BULB 6500K</t>
  </si>
  <si>
    <t>Panasonic LAMP</t>
  </si>
  <si>
    <t>9 W LED BULB</t>
  </si>
  <si>
    <t>7 W LED BULB</t>
  </si>
  <si>
    <t>5 W LED BULB</t>
  </si>
  <si>
    <t>BAJAJ TOTAL</t>
  </si>
  <si>
    <t>TOTAL WIPRO</t>
  </si>
  <si>
    <t>PanasonicTotal</t>
  </si>
  <si>
    <t>Sub TOTAL</t>
  </si>
  <si>
    <t>BAJAJ LAMP</t>
  </si>
  <si>
    <t>KIT Bal</t>
  </si>
  <si>
    <t>GARNET 3W LED BULB 2700K B22</t>
  </si>
  <si>
    <t>Tender 9W</t>
  </si>
  <si>
    <t>Panasonic Total</t>
  </si>
  <si>
    <t>Wipro 18W</t>
  </si>
  <si>
    <t>18W LED BULB</t>
  </si>
  <si>
    <t>02PFAB22CW05WHP</t>
  </si>
  <si>
    <t>01PFGB22CW05WHP</t>
  </si>
  <si>
    <t>02PFAB22CW09WHP</t>
  </si>
  <si>
    <t>01PFGB22CW09WHP</t>
  </si>
  <si>
    <t>02WFAB22CW07W9V</t>
  </si>
  <si>
    <t>01WFGB22CW07W9V</t>
  </si>
  <si>
    <t>02PFAB22CW05WPC</t>
  </si>
  <si>
    <t>01PFGB22CW05WPC</t>
  </si>
  <si>
    <t>02PFAB22CW07WHP</t>
  </si>
  <si>
    <t>01PFGB22CW07WHP</t>
  </si>
  <si>
    <t>Plan</t>
  </si>
  <si>
    <t>1~10</t>
  </si>
  <si>
    <t>11~17</t>
  </si>
  <si>
    <t>18~24</t>
  </si>
  <si>
    <t>25~30</t>
  </si>
  <si>
    <t>Remarks</t>
  </si>
  <si>
    <t>After IC approval</t>
  </si>
  <si>
    <t xml:space="preserve">Wipro Candle 3W 6500K E14 </t>
  </si>
  <si>
    <t>18w</t>
  </si>
  <si>
    <t>12w</t>
  </si>
  <si>
    <t>15w</t>
  </si>
  <si>
    <t>15W LED BULB CW</t>
  </si>
  <si>
    <t>15W LED BULB WW</t>
  </si>
  <si>
    <t>12W LED BULB CW</t>
  </si>
  <si>
    <t>12W LED BULB WW</t>
  </si>
  <si>
    <t>14W ( HBA) 6500K</t>
  </si>
  <si>
    <t>14W ( HBA) 2700K</t>
  </si>
  <si>
    <t>Daily SMT L2 PCB rcvd  Month of Dec -2017</t>
  </si>
  <si>
    <t>Daily Driver Recvd details Month of Dec- 2017</t>
  </si>
  <si>
    <t>3 W LED BULB</t>
  </si>
  <si>
    <t>SAP CODE</t>
  </si>
  <si>
    <t>O/P FG</t>
  </si>
  <si>
    <t xml:space="preserve">KIT RECEIVED </t>
  </si>
  <si>
    <t>SAP Code</t>
  </si>
  <si>
    <t>2CGSMT0309W22CW3</t>
  </si>
  <si>
    <t>LED ENGINE 9WCW EMGNCY M1093V1 15+24LED</t>
  </si>
  <si>
    <t>2RRSMT03009WCW01</t>
  </si>
  <si>
    <t>2ORSMT0320W2CH01</t>
  </si>
  <si>
    <t>2DXSMT0812V3A36W</t>
  </si>
  <si>
    <t>2WPSMT06S20WCW03</t>
  </si>
  <si>
    <t>DECO LAMP</t>
  </si>
  <si>
    <t>LED ENGINE 10W BT WW DXM890V 54LED</t>
  </si>
  <si>
    <t>2BJSMT03R10WWW01</t>
  </si>
  <si>
    <t>SMT MCPCB L2 20W NW BATTEN M839V1 93LED</t>
  </si>
  <si>
    <t>2WPSMT03020WNW01</t>
  </si>
  <si>
    <t>LED DRIVER SMT 20W BATTEN D1733V0 BP2366</t>
  </si>
  <si>
    <t>2PISMT0312WCW001</t>
  </si>
  <si>
    <t>2PISMT0308WCW001</t>
  </si>
  <si>
    <t>2PCSMT0318WRDNW1</t>
  </si>
  <si>
    <t>2PCSMT0318WRDCW1</t>
  </si>
  <si>
    <t>2PCSMT0318WRDWW1</t>
  </si>
  <si>
    <t>2PISMT0308WWW001</t>
  </si>
  <si>
    <t>2ORSMT0403WCW001</t>
  </si>
  <si>
    <t>2SLSMT1620W3CCT1</t>
  </si>
  <si>
    <t>2WPSMT0214W22CW2</t>
  </si>
  <si>
    <t>2WPSMT0218W22CW1</t>
  </si>
  <si>
    <t>LED MODULE 60WCW DB M1587V1 5336H 132LED</t>
  </si>
  <si>
    <t>2SLSMT0360W22CW1</t>
  </si>
  <si>
    <t>2WPSMT0310W22CW1</t>
  </si>
  <si>
    <t>2RRSMT0323W22CW1</t>
  </si>
  <si>
    <t>2RTSMT0310W22CW1</t>
  </si>
  <si>
    <t>2AJSMT0307W22CW1</t>
  </si>
  <si>
    <t>SMART &amp; EMERGENCY DRIVER</t>
  </si>
  <si>
    <t>SMART &amp; EMERGENCY  L2</t>
  </si>
  <si>
    <t>BATTEN DRIVER</t>
  </si>
  <si>
    <t>BATTEN  L2</t>
  </si>
  <si>
    <t>DOWN LIGHTER L2</t>
  </si>
  <si>
    <t>DOWN LIGHTER DR</t>
  </si>
  <si>
    <t>LED BULB PCB DRIVER</t>
  </si>
  <si>
    <t>LED BULB PCB L2</t>
  </si>
  <si>
    <t>2DXSMT0240W22CW1</t>
  </si>
  <si>
    <t>LED DRIVER SMT DOB 40W/50W B22CW D1444V2</t>
  </si>
  <si>
    <t>2RLSMT0218W22CW1</t>
  </si>
  <si>
    <t>LED DRIVER SMT RL 18W DXD1039V0 SI9773B</t>
  </si>
  <si>
    <t>2SLSMI030E5WCW01</t>
  </si>
  <si>
    <t>LED MODULE SMT&amp;MI P&amp;P SL 0.5WM1079 CW 3L</t>
  </si>
  <si>
    <t>LED MODULE DECO 0.5W CW M1080V0 47UF 3L</t>
  </si>
  <si>
    <t>2CGSMI050E5WCW01</t>
  </si>
  <si>
    <t>2DXSMI050E5WGN01</t>
  </si>
  <si>
    <t>LED MODULE DECO 0.5W WW M1080V0 47UF 3L</t>
  </si>
  <si>
    <t>2DXSMI050E5WWW02</t>
  </si>
  <si>
    <t>2PISMI050E5WBL01</t>
  </si>
  <si>
    <t>LED MODULE DECO 0.5WBLUE M1080V0 47UF 3L</t>
  </si>
  <si>
    <t>S.NO.</t>
  </si>
  <si>
    <t>TOTAL------&gt;</t>
  </si>
  <si>
    <t>SUB TOTAL------&gt;</t>
  </si>
  <si>
    <t>SMT FG</t>
  </si>
  <si>
    <t>LOT BAL SMT LINE</t>
  </si>
  <si>
    <t xml:space="preserve">SMT KIT O/P </t>
  </si>
  <si>
    <t>LED ENGINE 9W CW BATTEN DXM734 46LED</t>
  </si>
  <si>
    <t>LED ENGINE OR 20W S.BT 2CH M967V1 93LED</t>
  </si>
  <si>
    <t>LED DRIVER SMT BT 20W3CCT D983V1A 2364EN</t>
  </si>
  <si>
    <t>LED DRIVER SMT DOB WP 14W B22 D1552V0</t>
  </si>
  <si>
    <t>LED DRIVER SMT DOB WP 18W B22 D1553V0</t>
  </si>
  <si>
    <t>LED DRIVER SMT BT 20W D1429V3AB,BP2364DN</t>
  </si>
  <si>
    <t>LED ENGINE J.BOX 12W CW DL M921V 112LED</t>
  </si>
  <si>
    <t>LED ENGINE J.BOX PI 8W CW DL M846V 60LED</t>
  </si>
  <si>
    <t>LED MODULE 18WNWDLRD M1215V0 5151DH 144L</t>
  </si>
  <si>
    <t>LED MODULE 18WCWDLRD M1215V0 5151DH 144L</t>
  </si>
  <si>
    <t>LED MODULE 18WWWDLRD M1215V0 5151DH 144L</t>
  </si>
  <si>
    <t>LED ENGINE J.BOX PI 8W WW DL M846V 60LED</t>
  </si>
  <si>
    <t>LED MODULE OR 3W CW STRIKER M960V6 14LED</t>
  </si>
  <si>
    <t>LED MODULE 10WCWDBM1412V1B 175 5336H 15L</t>
  </si>
  <si>
    <t>LED MODULE 23WCWDBM1565V0175 7605C 60LED</t>
  </si>
  <si>
    <t>LED MODULE 10WCWDOBM1412V1B175 5336H 15L</t>
  </si>
  <si>
    <t>LED MODULE 7WCWDOBM1412V1B150LM5336H15L</t>
  </si>
  <si>
    <t>LED DRIVER SMT 36W12V3A P.F≥0.80 D1591V1</t>
  </si>
  <si>
    <t>LED MODULE DECO 0.5WGREENM1080V0 82UF 3L</t>
  </si>
  <si>
    <t>LED MODULE PLUG&amp;PLAY0.5W CW M1053V1 3L</t>
  </si>
  <si>
    <t>2OVSMT0309W22CW2</t>
  </si>
  <si>
    <t>LED ENGINE EM OV9WCW M1093V1 LED 15+14+4</t>
  </si>
  <si>
    <t>2PCSMT03S08WCW01</t>
  </si>
  <si>
    <t>LED ENGINE 8W CW BATTEN DXM886V0 38LED</t>
  </si>
  <si>
    <t>2MDSMT0209WRDCW2</t>
  </si>
  <si>
    <t>LED DRIVER SMT DL 9WCW RD D1627V0 9772BS</t>
  </si>
  <si>
    <t>2SLSMT0310W22CW1</t>
  </si>
  <si>
    <t>LED MODULE 10WCW DOB M1391V2A YT2173 15LED</t>
  </si>
  <si>
    <t>2MDSMTS507WR3CT1</t>
  </si>
  <si>
    <t>LED DRIVER SMT GMM 7W3CCT D1417V0 9526RF</t>
  </si>
  <si>
    <t>2ORSMT03S20WCW01</t>
  </si>
  <si>
    <t>LED ENGINE BT OR 20W CW DXM890V 0.5W 54L</t>
  </si>
  <si>
    <t>2BJSMT03020WCW02</t>
  </si>
  <si>
    <t>LED ENGINE BJ 20W CW BT M784V0 87LED</t>
  </si>
  <si>
    <t>2AJSMT06S20WGN01</t>
  </si>
  <si>
    <t>LED DRIVER SMT 20W BT GRN D1733V0 BP2366</t>
  </si>
  <si>
    <t>2OVSMT0236W2X203</t>
  </si>
  <si>
    <t>SMT NON ISOLATED DR.36W2x2 D1592V 9513SF</t>
  </si>
  <si>
    <t>2BJSMT0305WRDCW2</t>
  </si>
  <si>
    <t>LED MODULE 5WCWDOBDL BP5336H M1675V0A16L</t>
  </si>
  <si>
    <t>2CGSMT03020WCW01</t>
  </si>
  <si>
    <t>LED ENGINE 20WCW 5.7 M784V0 58+29= 87LED</t>
  </si>
  <si>
    <t>2PISMT0308WGN001</t>
  </si>
  <si>
    <t>2PISMT0308WRE001</t>
  </si>
  <si>
    <t>LED ENGINE J.BOX PI 8WGREEN DL M846V 60L</t>
  </si>
  <si>
    <t>LED ENGINE J.BOX PI 8W RED DL M846V 60L</t>
  </si>
  <si>
    <t>2RRSMT0309WRDWW1</t>
  </si>
  <si>
    <t>LED ENGINE 9W WW RD DL TT M1358V 14LED</t>
  </si>
  <si>
    <t>2BJSMT0305WRDGN1</t>
  </si>
  <si>
    <t>LED MODULE 5WGNDOBDL BP5336H M1675V0 16L</t>
  </si>
  <si>
    <t>2RSSMT03020WWW01</t>
  </si>
  <si>
    <t>LED ENGINE 20W WW BT 5.7MM M784V0 87LED</t>
  </si>
  <si>
    <t>2CGSMT0214W22CW5</t>
  </si>
  <si>
    <t>LED DRIVER SMT DOB WP 14W B22 D1828V0</t>
  </si>
  <si>
    <t>2RLSMT03020WBL01</t>
  </si>
  <si>
    <t>LED ENGINE RL 20W BLUE BT M784V0 87LED</t>
  </si>
  <si>
    <t>2RLSMT03020WGN01</t>
  </si>
  <si>
    <t>LED ENGINE RL 20W GREEN BT M784V0 87LED</t>
  </si>
  <si>
    <t>2RLSMT03020WRE01</t>
  </si>
  <si>
    <t>LED ENGINE RL 20W RED BT M784V0 87LED</t>
  </si>
  <si>
    <t>2FBSMT0309W22CW4</t>
  </si>
  <si>
    <t>LED MODULE 9W CW DOB M1391V2A YT2173 15L</t>
  </si>
  <si>
    <t>DAILY PRODUCTION</t>
  </si>
  <si>
    <t xml:space="preserve">DAILY KIT RECEIVE </t>
  </si>
  <si>
    <t>DAILY EXCISE DISPATCH</t>
  </si>
  <si>
    <t>LED MODULE 40WCW M1441V2C 62+26LED 7605C</t>
  </si>
  <si>
    <t>LED MODULE 50WCW M1443V2A 77+33LED 7605C</t>
  </si>
  <si>
    <t>2DNSMT0340W22CW1</t>
  </si>
  <si>
    <t>2DNSMT0350W22CW1</t>
  </si>
  <si>
    <t>LED ENGINE OR 3W DL TT WWRD M1241V 5LED</t>
  </si>
  <si>
    <t>2ORSMT0303WRDWW2</t>
  </si>
  <si>
    <t>2PISMT0812V3A36W</t>
  </si>
  <si>
    <t>SMT DRIVER 36W 12V3A (P.F# 0.80) D1591V1</t>
  </si>
  <si>
    <t>2PCSMT0318WSQCW1</t>
  </si>
  <si>
    <t>LED MODULE 18WCWSQDL M1205V0 5151DH 144L</t>
  </si>
  <si>
    <t>2PCSMT0324WSQCW1</t>
  </si>
  <si>
    <t>LED MODULE 24WCWSQDL M1262V0 5151DH 216L</t>
  </si>
  <si>
    <t>2WPSMT0320WRGB01</t>
  </si>
  <si>
    <t>LED ENGINE 20W 5CH BT M1086V1A, 0.6W RGB</t>
  </si>
  <si>
    <t>2WPSMT1120W2CH02</t>
  </si>
  <si>
    <t>LED DRIVER SMT S.BT20W W+B WB3L D941V2CH</t>
  </si>
  <si>
    <t>2WPSMT06S10WCW04</t>
  </si>
  <si>
    <t>LED DRIVER SMT BT WP 10W D1429V3A 2366DN</t>
  </si>
  <si>
    <t>2MDSMT0309WRDWW1</t>
  </si>
  <si>
    <t>LED ENGINE GMM 9W WW DL M1019V2 20LED</t>
  </si>
  <si>
    <t>2RRSMT1512WRDCW1</t>
  </si>
  <si>
    <t>LED DR.SMT J.BOX 12WRD RR D1027V0A 9763D</t>
  </si>
  <si>
    <t>2RRSMT0312WRDNW1</t>
  </si>
  <si>
    <t>LED ENGINE 12W NW RD DL TT M1243V 18LED</t>
  </si>
  <si>
    <t>2DXSMT1409W22CW8</t>
  </si>
  <si>
    <t>LED DR.SMT EME.DX 9W D1535V0A 3R6 9773AS</t>
  </si>
  <si>
    <t>2ORSMT03S48WCW01</t>
  </si>
  <si>
    <t>LED ENGINE OR 48W CW BT DXM1272V0 216LED</t>
  </si>
  <si>
    <t>2FBSMT0645WCW002</t>
  </si>
  <si>
    <t>LED DRIVER SMT ALBTFB45W D1807V1 2366EN</t>
  </si>
  <si>
    <t>2SLSMT03S30WCW01</t>
  </si>
  <si>
    <t>LED ENGINE 30WCW BATTEN M878V70-75LM 93L</t>
  </si>
  <si>
    <t>2HVSMT0305W22CW2</t>
  </si>
  <si>
    <t>LED MODULE HV5WCWDOBM1391V2A 5336H 14LED</t>
  </si>
  <si>
    <t>2ORSMT03S36WCW01</t>
  </si>
  <si>
    <t>LED ENGINE OR 36W CW BT DXM875V0 192LED</t>
  </si>
  <si>
    <t>2RRSMT06A36WCW01</t>
  </si>
  <si>
    <t>DRIVER SMT AL BT RR 36W D1807V1 2366DN</t>
  </si>
  <si>
    <t>2EVSMT0436WCW001</t>
  </si>
  <si>
    <t>LED ENGINE BT EV 36WCW DXM1839V0 120LED</t>
  </si>
  <si>
    <t>2WPSMT0303W22CW2</t>
  </si>
  <si>
    <t>LED MODULE DOB WP 3WCW M1672V0A 36V6LED</t>
  </si>
  <si>
    <t>2DXSMT0418WTWW01</t>
  </si>
  <si>
    <t>LED ENGINE 18W 2700K BT M780V1 93LED</t>
  </si>
  <si>
    <t>2EVSMT1409W22CW7</t>
  </si>
  <si>
    <t>LED DRIVER SMT EME.EV9WD1535V0A 9773AS</t>
  </si>
  <si>
    <t>2EVSMT1414W22CW2</t>
  </si>
  <si>
    <t>LED DRIVER SMT EME.14W D1535V0A 9773AS</t>
  </si>
  <si>
    <t>2RTSMT0223W22CW1</t>
  </si>
  <si>
    <t>LED DRIVER SMT DOBRISHTA 23WB22 D1553V0A</t>
  </si>
  <si>
    <t>2WPSMT0212W27CW2</t>
  </si>
  <si>
    <t>LED DRIVER SMT DOB 12W E27 DXD1856V</t>
  </si>
  <si>
    <t>2IKSMT06S10WCW01</t>
  </si>
  <si>
    <t>LED DRIVER SMT BT IKEA 10WD1733V0 9772BS</t>
  </si>
  <si>
    <t>2IKSMT03S36WCW01</t>
  </si>
  <si>
    <t>2IKSMT03S10WCW01</t>
  </si>
  <si>
    <t>2IKSMT03S24WCW01</t>
  </si>
  <si>
    <t>LED ENGINE BT IKEA 36W CW M1787V0 170LED</t>
  </si>
  <si>
    <t>LED ENGINE BT IKEA 10W CW M734V2 46LED</t>
  </si>
  <si>
    <t>LED ENGINE BT IKEA 24W CW M866V0 120LED</t>
  </si>
  <si>
    <t>2WPSMT06S05WCW04</t>
  </si>
  <si>
    <t>LED DRIVER SMT BT WP 5W D1429V3A 2366DN</t>
  </si>
  <si>
    <t>2ORSMT06S20WCW02</t>
  </si>
  <si>
    <t>LED DRIVERSMT BT20W2FT DXD1429V3A 2366DN</t>
  </si>
  <si>
    <t>2WPSMT0309W5CH05</t>
  </si>
  <si>
    <t>LED MODULE 9W S.DOB M1590V0 5CH 42LED</t>
  </si>
  <si>
    <t>2FBSMT0303WRDCW2</t>
  </si>
  <si>
    <t>LED MODULE FB 3W STRIKER CW M960V6 14LED</t>
  </si>
  <si>
    <t>2DXSMT1412W22CW3</t>
  </si>
  <si>
    <t>DRIVER SMT EMER 12W D1535V0A 1R5 9773AS</t>
  </si>
  <si>
    <t>LED DRIVER SMT SL20W2FTBT D1733V0 BP2366</t>
  </si>
  <si>
    <t>2SLSMT06S20WCW01</t>
  </si>
  <si>
    <t>2RSSMT1415W22CW2</t>
  </si>
  <si>
    <t>LED DR. SMT RRS 15W EMR D1626V0 8723BSF</t>
  </si>
  <si>
    <t>2RRSMT0312W22CW1</t>
  </si>
  <si>
    <t>LED ENGINE EMR.RR12WCW M1608V0 24+26LED</t>
  </si>
  <si>
    <t>LED DR.SMT EME.DX 9W D1535V0A 4R7 9773AS</t>
  </si>
  <si>
    <t>2BJSMT1412W22CW2</t>
  </si>
  <si>
    <t>DRIVER SMT EM BULB BJ12W D1535V0A 9773AS</t>
  </si>
  <si>
    <t>2RRSMT1415W22CW2</t>
  </si>
  <si>
    <t>LED DR. SMT RR 15W EMR. D1626V0 8723BSF</t>
  </si>
  <si>
    <t>2DXSMI050E5WGN03</t>
  </si>
  <si>
    <t>2DXSMI050E5WPK03</t>
  </si>
  <si>
    <t>LED MODULE DECO 0.5W GREEN M1679V0 1LED</t>
  </si>
  <si>
    <t>LED MODULE DECO 0.5W PINK M1679V0 1LED</t>
  </si>
  <si>
    <t>2DXSMT1409W22CW7</t>
  </si>
  <si>
    <t>2EVSMT0312W22CW2</t>
  </si>
  <si>
    <t>LED MODULE EV 12WCW M1439V2A BP5336H 28L</t>
  </si>
  <si>
    <t>2ORSMT0303WBL003</t>
  </si>
  <si>
    <t>LED MODULE 3WMINI DLBL M1846V0 5336H 14L</t>
  </si>
  <si>
    <t>2PISMI050E5WWW01</t>
  </si>
  <si>
    <t>2DXSMT06S20WCW0C</t>
  </si>
  <si>
    <t>LED DRIVER SMT 20W BT D1733V0 BP2366DFS</t>
  </si>
  <si>
    <t>2RRSMT0312WRDWW1</t>
  </si>
  <si>
    <t>LED ENGINE 12W WW RD DL TT M1243V 18LED</t>
  </si>
  <si>
    <t>LED ENGINE 12W CW RD DL TT M1243V 18LED</t>
  </si>
  <si>
    <t>2RRSMT0312WRDCW1</t>
  </si>
  <si>
    <t>2PISMI050E5WCW01</t>
  </si>
  <si>
    <t>2S3SMT1009W22CH1</t>
  </si>
  <si>
    <t>LED DR.SMT SMART SEOUL 9WB22 D1939V0 2CH</t>
  </si>
  <si>
    <t>2RRSMT03S20WWW01</t>
  </si>
  <si>
    <t>LED ENGINE BT OR 20W WW DXM890V 0.5W 54L</t>
  </si>
  <si>
    <t>2CGSMT0305W22CW1</t>
  </si>
  <si>
    <t>LED MODULE DOB 5WCW M1391V2A 13L BP5336H</t>
  </si>
  <si>
    <t>LED MODULE SMT&amp;MI P&amp;PSL0.5WM1079GREEN 3L</t>
  </si>
  <si>
    <t>2SLSMI030E5WGN01</t>
  </si>
  <si>
    <t>2GMSMT0309W22CW1</t>
  </si>
  <si>
    <t>LED ENGINE 9W CW EM.BULB M1093V1A 15+24L</t>
  </si>
  <si>
    <t>2CGSMT1409W22CW2</t>
  </si>
  <si>
    <t>LED DRIVER SMT CG9W EMR. D1535V QW2889M</t>
  </si>
  <si>
    <t>2DXSMI050E5WWW03</t>
  </si>
  <si>
    <t>LED MODULE DECO 0.5W WW M1679V0 1LED</t>
  </si>
  <si>
    <t>2SLSMT03S25WCW01</t>
  </si>
  <si>
    <t>LED ENGINE BT 25WCW M784V0A 70-75LM 87L</t>
  </si>
  <si>
    <t>2RRSMT0512WRDCW1</t>
  </si>
  <si>
    <t>LED DRIVER SMT TT12WRD D1027V0A2335/9762</t>
  </si>
  <si>
    <t>2EVSMT1423W22CW1</t>
  </si>
  <si>
    <t>LED DRIVER SMT EME.23W D1881V0 2200MAH</t>
  </si>
  <si>
    <t>2EVSMT0320W22CW1</t>
  </si>
  <si>
    <t>LED ENGINE EMR.20WCW M1842V0 36+45=81LED</t>
  </si>
  <si>
    <t>2EVSMT03S20WCW01</t>
  </si>
  <si>
    <t>LED ENGINE 20WCW 5.7 M784V0 26-28LM 87L</t>
  </si>
  <si>
    <t>2RRSMT0330W22CW1</t>
  </si>
  <si>
    <t>LED MODULE 30WCW M1442V2A 7605CB 46+20L</t>
  </si>
  <si>
    <t>2BJSMT06S20WCW04</t>
  </si>
  <si>
    <t>LED DRIVER SMT BJ20W BT D1733V0 BP2366DN</t>
  </si>
  <si>
    <t>2BCSMT1515WCW001</t>
  </si>
  <si>
    <t>LED DRIVER SMT J.BOX BC15W D1225V 2366EN</t>
  </si>
  <si>
    <t>2CGSMT0309W22CW5</t>
  </si>
  <si>
    <t>LED MODULE 9WCWM1391V2A0.8MM 15L BP5336H</t>
  </si>
  <si>
    <t>LED MODULE 40W CW M1441V2C 7605CB 44+44L</t>
  </si>
  <si>
    <t>LED MODULE 50W CW M1443V2A 7605CB 55+55L</t>
  </si>
  <si>
    <t>LED MODULE 9WCWM1391V2A 0.8MM YT2173 15L</t>
  </si>
  <si>
    <t>2CGSMT0314W22CW3</t>
  </si>
  <si>
    <t>2OVSMT0318W22CW1</t>
  </si>
  <si>
    <t>LED MODULE 14WCW M1775V0 175LM7605CB 38L</t>
  </si>
  <si>
    <t>LED MODULE 18WCW M1569V1 175LM 7605CB60L</t>
  </si>
  <si>
    <t>2RSSMT0306W22CW3</t>
  </si>
  <si>
    <t>LED MODULE 6W CW DB M1391V2A 2173E8 14L</t>
  </si>
  <si>
    <t>LED MODULE WP 5W CW M1391V2A YT2173 14L</t>
  </si>
  <si>
    <t>2WPSMT0305W22CW8</t>
  </si>
  <si>
    <t>LED MODULE 23WCW M1565V0 175LM7605CB 60L</t>
  </si>
  <si>
    <t>2CGSMT0323W22CW3</t>
  </si>
  <si>
    <t>2EVSMT06S20WCW01</t>
  </si>
  <si>
    <t>2WPSMT0303W22WW2</t>
  </si>
  <si>
    <t>2OVSMT032E9W2CW1</t>
  </si>
  <si>
    <t>LED MODULE DOB WP 3WWW M1672V0A 36V 6LED</t>
  </si>
  <si>
    <t>LED MODULE DOB 2.9W CW M1672V0A 36V 6LED</t>
  </si>
  <si>
    <t>LED MODULE 10WWW DOB M1391V2A YT2173 15L</t>
  </si>
  <si>
    <t>2SLSMT0310W22WW1</t>
  </si>
  <si>
    <t>2HBSMT0303W14WW1</t>
  </si>
  <si>
    <t>LED MODULE DOB 3W WW M1538V3 11+3LED</t>
  </si>
  <si>
    <t>2RRSMT0340W22CW2</t>
  </si>
  <si>
    <t>LED MODULE 40WCW M1441V2C 7605CB 62+26L</t>
  </si>
  <si>
    <t>2RRSMTFL050WVCW1</t>
  </si>
  <si>
    <t>LED DRIVER SMT FLOOD LIGHT RR50W D1769V1</t>
  </si>
  <si>
    <t>2JPSMT0312W22CW1</t>
  </si>
  <si>
    <t>LED MODULE DOB 12W CW M1848V1 7605CB 30L</t>
  </si>
  <si>
    <t>LED MODULE 50WCW M1443V2A 7605CB77+33L</t>
  </si>
  <si>
    <t>2RRSMT0350W22CW2</t>
  </si>
  <si>
    <t>2AJSMT0355W22CW4</t>
  </si>
  <si>
    <t>2AJSMT0355W22WW2</t>
  </si>
  <si>
    <t>LED MODULE 55WCW M1443V2A 7605CB 77+33L</t>
  </si>
  <si>
    <t>LEDMODULE 55W WW M1443V2A 7605CB 110LED</t>
  </si>
  <si>
    <t>2WPSMT03020WCW01</t>
  </si>
  <si>
    <t>LED ENGINE 20W CW BATTEN M780V1 93LED</t>
  </si>
  <si>
    <t>2IKSMT0312W22WW1</t>
  </si>
  <si>
    <t>LED MODULE DOB IK12WWW M1806V0 5336H 44L</t>
  </si>
  <si>
    <t>LED MODULE 40WWW M1441V2C 7605CB 88L</t>
  </si>
  <si>
    <t>LED MODULE DOB 50WWW M1443V2A 7605CB110L</t>
  </si>
  <si>
    <t>LED MODULE 70W CW M1692V0 7605CB 168LED</t>
  </si>
  <si>
    <t>2RRSMT0340W22WW2</t>
  </si>
  <si>
    <t>2RRSMT0350W22WW2</t>
  </si>
  <si>
    <t>2EOSMT0370W22CW1</t>
  </si>
  <si>
    <t>2WPSMT0303W14WW2</t>
  </si>
  <si>
    <t>LED MODULE 3W WW DOB M1538V1 36V 8LED</t>
  </si>
  <si>
    <t>2AMSMT0340W22CW2</t>
  </si>
  <si>
    <t>2SLSMI030E5WWW01</t>
  </si>
  <si>
    <t>LED MODULE SMT&amp;MI P&amp;P SL0.5WM1079 WW 3L</t>
  </si>
  <si>
    <t>2RRSMTFL050WVCW3</t>
  </si>
  <si>
    <t>LED DRIVER SMT DOB FLOODLIGHT 50WD1913V1</t>
  </si>
  <si>
    <t>2ROSMT0309W22CW2</t>
  </si>
  <si>
    <t>LED MODULE RR 5W CW M1391V2A 2173E8 13L</t>
  </si>
  <si>
    <t>LED MODULE 10W MOTIONSENSOR M1702V1 10L</t>
  </si>
  <si>
    <t>2RRSMT0305W22CW2</t>
  </si>
  <si>
    <t>2RRSMT0310W22CW1</t>
  </si>
  <si>
    <t>LED ENGINE GMM 9W NW DL M1019V2 20LED</t>
  </si>
  <si>
    <t>LED MODULE DL12WCW SQ M1825V0A 5336H 78L</t>
  </si>
  <si>
    <t>LED MODULE DL12WNW SQ M1825V0A 5336H 78L</t>
  </si>
  <si>
    <t>2MDSMT0309WRDNW1</t>
  </si>
  <si>
    <t>2MDSMT0312WSQCW1</t>
  </si>
  <si>
    <t>2MDSMT0312WSQNW2</t>
  </si>
  <si>
    <t>LED DRIVER SMT 10W SENSOR D1783V0 9526RF</t>
  </si>
  <si>
    <t>LED DRIVER SMT FLD LIGHT RR100W D1924V1A</t>
  </si>
  <si>
    <t>2RRSMT2510W22CW1</t>
  </si>
  <si>
    <t>2RRSMTFL100WVCW1</t>
  </si>
  <si>
    <t>LED MODULE 19W CW M1569V1 7605CB 60LED</t>
  </si>
  <si>
    <t>2RRSMT0319W22CW1</t>
  </si>
  <si>
    <t>2DNSMT0305WRDCW1</t>
  </si>
  <si>
    <t>LED MODULE 5WCWDOBDL BP5336H M1675V0 16L</t>
  </si>
  <si>
    <t>2PCSMT0312WRDCW3</t>
  </si>
  <si>
    <t>LEDENGINE J.BOX 12WCWDL M921V 0.8MM 112L</t>
  </si>
  <si>
    <t>2PCSMT1515WRDCW1</t>
  </si>
  <si>
    <t>LEDDRIVER SMT J.BOX PC15WDLD1225V09773AS</t>
  </si>
  <si>
    <t>2ORSMT0303WGN003</t>
  </si>
  <si>
    <t>2ORSMT0303WRED02</t>
  </si>
  <si>
    <t>LED MODULE 3WMINI DLGN M1846V0 5336H 14L</t>
  </si>
  <si>
    <t>LED MODULE 3WMINI DLRE M1846V0 5336H 14L</t>
  </si>
  <si>
    <t>2DXSMI050E5WBL03</t>
  </si>
  <si>
    <t>2DXSMI050E5WRE03</t>
  </si>
  <si>
    <t>LED MODULE DECO 0.5W BLUE M1679V0 1LED</t>
  </si>
  <si>
    <t>LED MODULE DECO 0.5W RED M1679V0 1LED</t>
  </si>
  <si>
    <t>2CGSMT0350W22CW2</t>
  </si>
  <si>
    <t>2EVSMT0309W22CW2</t>
  </si>
  <si>
    <t>LED ENGINE EME EV9WCW M1093V1 15+11+4LED</t>
  </si>
  <si>
    <t>LED DRIVER SMT 9W SENSOR D1783V0 9526RF</t>
  </si>
  <si>
    <t>2DNSMT2509W22CW1</t>
  </si>
  <si>
    <t>2DXSMT03S20WCW02</t>
  </si>
  <si>
    <t>LED ENGINE 20WCW M780V1A 5.7MM 28-30 93L</t>
  </si>
  <si>
    <t>2RRSMTFL050WVCW5</t>
  </si>
  <si>
    <t>LED DRIVER SMT FL LIGHT RR50W*3P D1820V0</t>
  </si>
  <si>
    <t>2RRSMT0323W22CW2</t>
  </si>
  <si>
    <t>LED MODULE RR23WCW M1565V0175 7605CB 60L</t>
  </si>
  <si>
    <t>2EVSMT06S25WCW01</t>
  </si>
  <si>
    <t>LED DRIVER SMT 25W BT D1733V0 BP2366DS</t>
  </si>
  <si>
    <t>2RTSMT0323W22CW2</t>
  </si>
  <si>
    <t>LED MODULE 23W CW M1598V0 175 7605CB 60L</t>
  </si>
  <si>
    <t>2WPSMT0315W22WW1</t>
  </si>
  <si>
    <t>2WPSMT0315W22CW1</t>
  </si>
  <si>
    <t>LED MODULE DOB 15W WW M1848V1 7605CB 30L</t>
  </si>
  <si>
    <t>LED MODULE DOB 15W CW M1848V1 7605CB 30L</t>
  </si>
  <si>
    <t>2JHSMT06S20WCW01</t>
  </si>
  <si>
    <t>LED DRIVER SMT JH20W2FTBT D1733V0 BP2366</t>
  </si>
  <si>
    <t>2HVSMT0315W5CHR2</t>
  </si>
  <si>
    <t>LED ENGINE S.DL HV15WRD 5CH M1245V2 190L</t>
  </si>
  <si>
    <t>2CGSMT1509WRDCW1</t>
  </si>
  <si>
    <t>LED DRIVER SMT J.BOX DLCG9WD1225V 9772AS</t>
  </si>
  <si>
    <t>2LNSMT0305WRDWW1</t>
  </si>
  <si>
    <t>LED MODULE 5W WW DL BP5336H M1564V0 15L</t>
  </si>
  <si>
    <t>LED MODULE BPL 10W 3CCT M1942V0 12L EACH</t>
  </si>
  <si>
    <t>LED MODULE15W ALLROUNDER M1778V1A 8000D</t>
  </si>
  <si>
    <t>LED MODULE ALL ROUNDER 9W M1772V0 12LED</t>
  </si>
  <si>
    <t>2RLSMT0310W3CCT1</t>
  </si>
  <si>
    <t>2RLSMT0315W22CW1</t>
  </si>
  <si>
    <t>2RLSMT0309W22CW3</t>
  </si>
  <si>
    <t>LED MODULE 9WCW DOB M1391V2A 7605CB 15L</t>
  </si>
  <si>
    <t>2EVSMT0309W22CW6</t>
  </si>
  <si>
    <t>2HVSMT0812V5A60W</t>
  </si>
  <si>
    <t>DRIVER SMT HV60W12V5A(P.F≥ 0.80)D1591V1</t>
  </si>
  <si>
    <t>2RRSMT06S20WCW08</t>
  </si>
  <si>
    <t>LED DRVER SMT 20W D1429V3A,1MM BP2366DN</t>
  </si>
  <si>
    <t>2PCSMT03S12WCW01</t>
  </si>
  <si>
    <t>LED ENGINE 12W CW BATTEN DXM890V 54LED</t>
  </si>
  <si>
    <t>2CGSMT06S22WCW01</t>
  </si>
  <si>
    <t>LED DRIVER SMT 22W BT D1733V0 BP2366DS</t>
  </si>
  <si>
    <t>2DXSMT06S24WCW02</t>
  </si>
  <si>
    <t>LED DRIVER SMT BT24W D1429V3A YT2302EHS7</t>
  </si>
  <si>
    <t>LED ENGINE D.DRAW 24WCWDLRD M1541V0 112L</t>
  </si>
  <si>
    <t>2BJSMT0324WRDCW1</t>
  </si>
  <si>
    <t>2SLSMT0320W3CCT1</t>
  </si>
  <si>
    <t>LED MODULE SL 20W 3CCT M1886V 87CW+87WW</t>
  </si>
  <si>
    <t>2DXSMT0309W22CW4</t>
  </si>
  <si>
    <t>LED MODULE 9W CW M1412V1B BP5336H 8+7LED</t>
  </si>
  <si>
    <t>LED MODULE 24WNWDLRD M1263V0 5151DH 216L</t>
  </si>
  <si>
    <t>2PCSMT0324WRDNW1</t>
  </si>
  <si>
    <t>2FBSMT0240W2X201</t>
  </si>
  <si>
    <t>SMT NON ISOLATED DR.40W2x2 D1592V 9513SF</t>
  </si>
  <si>
    <t>2DXSMT03S20WCW03</t>
  </si>
  <si>
    <t>LED ENGINE 20WCW M780V1A 5.7MM 62+31=93L</t>
  </si>
  <si>
    <t>LED ENGINE AL BT WP 36W CW DXM1026V 144L</t>
  </si>
  <si>
    <t>2WPSMT03A36WCW01</t>
  </si>
  <si>
    <t>LED MODULE SPOT LIGHT OV2WWW M1771V0 3L</t>
  </si>
  <si>
    <t>2OVSMT0302WWW001</t>
  </si>
  <si>
    <t>2WPSMT0320WCW003</t>
  </si>
  <si>
    <t>LED ENGINE WALL LIGHT WP 20W M1725V 54L</t>
  </si>
  <si>
    <t>2RRSMTSL100WCW01</t>
  </si>
  <si>
    <t>LED EINGNE DOB SL 100WCW 9V M1915V2 120L</t>
  </si>
  <si>
    <t>2RRSMT0360W22CW1</t>
  </si>
  <si>
    <t>LED MODULE DOB 60WCWM1587V1 132L BP5336H</t>
  </si>
  <si>
    <t>2HBSMT0211W27WW1</t>
  </si>
  <si>
    <t>SMT BULB DRIVER 11W E27 D1273V1 2863AJ</t>
  </si>
  <si>
    <t>2RRSMT03100WVCW2</t>
  </si>
  <si>
    <t>LED EINGNE FL RR100WCWVR 9V M1794V0 120L</t>
  </si>
  <si>
    <t>2DXSMT0305WWW001</t>
  </si>
  <si>
    <t>LED ENGINE 5W WW DXM872V0 5LED</t>
  </si>
  <si>
    <t>2AMSMT0350W22CW3</t>
  </si>
  <si>
    <t>2HBSMT0305W14WW1</t>
  </si>
  <si>
    <t>LED MODULE DOB 5W WW M1538V3 11+3LED</t>
  </si>
  <si>
    <t>2RSSMT0324W22CW1</t>
  </si>
  <si>
    <t>LED MODULE 24WCWDBM1565V0175 7605C 60LED</t>
  </si>
  <si>
    <t>2DXSMT0308WCW001</t>
  </si>
  <si>
    <t>2FBSMT0315WRDCW2</t>
  </si>
  <si>
    <t>LED MODULE DOB JB DX 8W CW M1858V 78LED</t>
  </si>
  <si>
    <t>LED MODULE DOB JB FB15WCW M1859V 156LED</t>
  </si>
  <si>
    <t>2CGSMT0330W22CW4</t>
  </si>
  <si>
    <t>LEDMODULE 30WCWM1442V2A7605CB 1S 45D 45L</t>
  </si>
  <si>
    <t>2DXSMT03A20WCW01</t>
  </si>
  <si>
    <t>LED ENGINE BT 20W CW M839V1 62+31 93LED</t>
  </si>
  <si>
    <t>2WPSMT0307W22WW6</t>
  </si>
  <si>
    <t>LED MODULE WP7W WW M1391V2A YT2173E8 15L</t>
  </si>
  <si>
    <t>2HBSMT0304W27WW2</t>
  </si>
  <si>
    <t>LED MODULE P45 GOLF 4WWW M1538V3 11+3LED</t>
  </si>
  <si>
    <t>LED DRIVER SMT COB RL6WRD D1009V3 9526RF</t>
  </si>
  <si>
    <t>2RLSMT0506WRDCW1</t>
  </si>
  <si>
    <t>2WPSMT0305W22WW6</t>
  </si>
  <si>
    <t>LED MODULE WP 5W WW M1391V2A YT2173 14L</t>
  </si>
  <si>
    <t>2DNSMT0318WRDCW1</t>
  </si>
  <si>
    <t>LED MODULE 18WCWRDDL M1844V0 7605CB 144L</t>
  </si>
  <si>
    <t>2FBSMT0320W22CW1</t>
  </si>
  <si>
    <t>LED MODULE 20WCWDOBM1570V07605C 175 44L</t>
  </si>
  <si>
    <t>2EVSMT04S36WWW01</t>
  </si>
  <si>
    <t>LED ENGINE BT EV 36W WW DXM1839V0 120LED</t>
  </si>
  <si>
    <t>2DXSMT03TNGBCW01</t>
  </si>
  <si>
    <t>LED ENGINE TARANG BRITE-CW M784V0 87LED</t>
  </si>
  <si>
    <t>2EVSMT0330W22CW1</t>
  </si>
  <si>
    <t>2CGSMT0314W22CW4</t>
  </si>
  <si>
    <t>LEDMODULE14WCW M1439V2AM7605CB 1S45D 28L</t>
  </si>
  <si>
    <t>2ISSMT0318WRDCW1</t>
  </si>
  <si>
    <t>LED MODULE 18W CW RD M1844V0 7605CB 144L</t>
  </si>
  <si>
    <t>2PISMT0812V5A60W</t>
  </si>
  <si>
    <t>SMT DRIVER 60W 12V5A (P.F≥ 0.80) D1788V0</t>
  </si>
  <si>
    <t>2WPSMT03S36WWW01</t>
  </si>
  <si>
    <t>LED ENGINE WP36W WW BATTEN DXM875V0 192L</t>
  </si>
  <si>
    <t>2CGSMT0320W22CW5</t>
  </si>
  <si>
    <t>LEDMODULE 20WCWM1569V1 1S45D M7605CB 60L</t>
  </si>
  <si>
    <t>LEDMODULE 23WCW M1569V1 1S45D 7605CB 60L</t>
  </si>
  <si>
    <t>2CGSMT0323W22CW4</t>
  </si>
  <si>
    <t>2SLSMI030E5WBL01</t>
  </si>
  <si>
    <t>LED MODULE SMT&amp;MI P&amp;PSL0.5WM1079 BLUE 3L</t>
  </si>
  <si>
    <t>2AJSMT0345W22CW2</t>
  </si>
  <si>
    <t>LED MODULE 45WCW M1441V2C 7605CB 62+26L</t>
  </si>
  <si>
    <t>2WPSMT1012E52203</t>
  </si>
  <si>
    <t>SMT DRIVER SMARTBL12.5W5CHWIFI D1585V0B</t>
  </si>
  <si>
    <t>2PCSMT0306WRDCW2</t>
  </si>
  <si>
    <t>LED ENGINE TT 6W CW RND M1242V2A 10LED</t>
  </si>
  <si>
    <t>2PISMT0312WWW001</t>
  </si>
  <si>
    <t>LED ENGINE J.BOX 12W WW DL M921V 112LED</t>
  </si>
  <si>
    <t>2DXSMI050E5WCW03</t>
  </si>
  <si>
    <t>LED MODULE DECO 0.5W CW M1679V0 1LED</t>
  </si>
  <si>
    <t>2ORSMT0303WCW002</t>
  </si>
  <si>
    <t>LED MODULE 3WMINI DLCW M1846V0 5336H 14L</t>
  </si>
  <si>
    <t>2EVSMT0314W22CW2</t>
  </si>
  <si>
    <t>LED ENGINE EMR.14WCW M1885V0 32+27=59LED</t>
  </si>
  <si>
    <t>2PISMT0308WPK001</t>
  </si>
  <si>
    <t>LED ENGINE J.BOX PI 8W PINK DL M846V 60L</t>
  </si>
  <si>
    <t>2ORSMT0303WWW002</t>
  </si>
  <si>
    <t>LED MODULE 3WMINI DLWW M1846V0 5336H 14L</t>
  </si>
  <si>
    <t>2ORSMT0303WRDCW2</t>
  </si>
  <si>
    <t>2ORSMT0306WRDNW1</t>
  </si>
  <si>
    <t>2RRSMT0303WRDNW1</t>
  </si>
  <si>
    <t>2CGSMT0312WRDWW1</t>
  </si>
  <si>
    <t>2CGSMT0306WRDWW1</t>
  </si>
  <si>
    <t>LED ENGINE OR 3W DL TT CWRD M1241V 5LED</t>
  </si>
  <si>
    <t>LED ENGINE OR6W DL TT NW RD M1242V 10LED</t>
  </si>
  <si>
    <t>LED ENGINE 3W NW RND DL TT M1241V 5LED</t>
  </si>
  <si>
    <t>LED MODULE 12WWWRD DL M1705V0 7605CB 75L</t>
  </si>
  <si>
    <t>LED MODULE 6WWW RD DL M1706V0 7605CB 72L</t>
  </si>
  <si>
    <t>2RRSMT03200WCW01</t>
  </si>
  <si>
    <t>LED EINGNE FL RR200WCW M1797V1 ,6V 240L</t>
  </si>
  <si>
    <t>2HVSMT06S20WCW02</t>
  </si>
  <si>
    <t>LED DRIVER SMT HV 20W BT D1733V0 BP2366</t>
  </si>
  <si>
    <t>2DNSMT0318WSQCW1</t>
  </si>
  <si>
    <t>2CGSMT0318WRDWW1</t>
  </si>
  <si>
    <t>LED MODULE 18WCWSQDL M1730V0 7605CB 144L</t>
  </si>
  <si>
    <t>LED MODULE 18WWWRDDL M1844V0 7605CB 144L</t>
  </si>
  <si>
    <t>2DNSMT0312WRDCW1</t>
  </si>
  <si>
    <t>LED MODULE 12WCWRD DL M1705V0 7605CB 75L</t>
  </si>
  <si>
    <t>2CGSMI050E5WPK01</t>
  </si>
  <si>
    <t>LED MODULE PLUG&amp;PLAY0.5W PINK M1053V1 3L</t>
  </si>
  <si>
    <t>2CGSMT1412W22CW4</t>
  </si>
  <si>
    <t>2CGSMT1409W22CW4</t>
  </si>
  <si>
    <t>LED DRIVER SMT EME.12W D1535V0 2200MAH</t>
  </si>
  <si>
    <t>2RLSMT0309W22WW1</t>
  </si>
  <si>
    <t>LED MODULE DOB 9WWW M1412V1B 15L BP5336H</t>
  </si>
  <si>
    <t>2LNSMT0305WRDGN1</t>
  </si>
  <si>
    <t>2LNSMT0305WRDBL1</t>
  </si>
  <si>
    <t>2DNSMT0324WRDCW1</t>
  </si>
  <si>
    <t>2DNSMT0324WSQCW1</t>
  </si>
  <si>
    <t>2CGSMT0324WRDWW1</t>
  </si>
  <si>
    <t>2CGSMT0324WRDNW1</t>
  </si>
  <si>
    <t>2CGSMT0324WSQWW2</t>
  </si>
  <si>
    <t>LED MODULE 5WGREENDL BP5336H M1564V0 15L</t>
  </si>
  <si>
    <t>LED MODULE 5W BLUEDL BP5336H M1564V0 15L</t>
  </si>
  <si>
    <t>LED MODULE 24WCWRDDL M1845V0 7605CB 216L</t>
  </si>
  <si>
    <t>LED MODULE 24WCWSQDL M1736V0 7605CB 216L</t>
  </si>
  <si>
    <t>LED MODULE 24WWWRDDL M1845V0 7605CB 216L</t>
  </si>
  <si>
    <t>LED MODULE 24WNWRDDL M1845V0 7605CB 216L</t>
  </si>
  <si>
    <t>LED MODULE 24WWWSQDL M1736V0 7605CB 216L</t>
  </si>
  <si>
    <t>2PCSMT0312WRDNW2</t>
  </si>
  <si>
    <t>2CGSMT0306WSQNW2</t>
  </si>
  <si>
    <t>2DNSMT0312WSQCW1</t>
  </si>
  <si>
    <t>2ORSMT032E7W2CW1</t>
  </si>
  <si>
    <t>2MDSMT0306WRDCW3</t>
  </si>
  <si>
    <t>2CGSMT0306WRDNW1</t>
  </si>
  <si>
    <t>LEDENGINE J.BOX 12WNWDL M921V 0.8MM 112L</t>
  </si>
  <si>
    <t>LED MODULE 6WNW SQ DL M1707V0 7605CB 72L</t>
  </si>
  <si>
    <t>LED MODULE 12WCWSQ DL M1708V0 7605CB 75L</t>
  </si>
  <si>
    <t>LED MODULE DB OR 2.7WCW M1672V0 36V 6LED</t>
  </si>
  <si>
    <t>LED MODULE DL 06WCWRD M1823V1 7605CB 22L</t>
  </si>
  <si>
    <t>LED MODULE 6WNW RD DL M1706V0 7605CB 72L</t>
  </si>
  <si>
    <t>2RSSMT03020WPK01</t>
  </si>
  <si>
    <t>2WPSMT0305W27WW2</t>
  </si>
  <si>
    <t>LED ENGINE 20WPINK BT 5.7MM M784V0 87LED</t>
  </si>
  <si>
    <t>LED MODULE DOB 5WWW M1391V2A 14L BP5336H</t>
  </si>
  <si>
    <t>2AMSMT0312W22CW1</t>
  </si>
  <si>
    <t>2EVSMT0307W22CW2</t>
  </si>
  <si>
    <t>2OVSMT0302WCW001</t>
  </si>
  <si>
    <t>2OVSMT0302WBL001</t>
  </si>
  <si>
    <t>2OVSMT0302WGN001</t>
  </si>
  <si>
    <t>2EVSMT0340W22CW1</t>
  </si>
  <si>
    <t>2RRSMTSL050WCW01</t>
  </si>
  <si>
    <t>2MDSMT0350W22CW4</t>
  </si>
  <si>
    <t>2MDSMT0312WRDCW3</t>
  </si>
  <si>
    <t>2ROSMT032E9W2CW1</t>
  </si>
  <si>
    <t>LEDMODULE 12WCW M1412V1B .8 15L YT2173E8</t>
  </si>
  <si>
    <t>LED MODULE 7WCW DOB M1391V2A 7605CB 15L</t>
  </si>
  <si>
    <t>LED MODULE SPOT LIGHT OV2WCW M1771V0 3L</t>
  </si>
  <si>
    <t>LED MODULE SPOT LIGHT 2W BLUE M1771V0 3L</t>
  </si>
  <si>
    <t>LED MODULE SPOT LIGHT 2WGREEN M1771V0 3L</t>
  </si>
  <si>
    <t>LED MODULE EV 40W CW M1441V2C 7605CB 88L</t>
  </si>
  <si>
    <t>LED EINGNE DOB SL RR 50WCW M1914V2 60LED</t>
  </si>
  <si>
    <t>LED MODULE 50WCW M1443V2A 7605CB 110LED</t>
  </si>
  <si>
    <t>LED MODULE DL 12WCWRDM1822V0A 7605CB 78L</t>
  </si>
  <si>
    <t>LED MODULE 2.9WCW M1672V0A 36V 7605CB 6L</t>
  </si>
  <si>
    <t>2RRSMT0315W22CW4</t>
  </si>
  <si>
    <t>2OVSMT0302WPK001</t>
  </si>
  <si>
    <t>LED MODULE 15WCWM1848V1 7605CB 15+15 30L</t>
  </si>
  <si>
    <t>LED MODULE SPOT LIGHT 2W PINK M1771V0 3L</t>
  </si>
  <si>
    <t>2DXSMT0812C2AMP1</t>
  </si>
  <si>
    <t>2RLSMT0210W3CCT1</t>
  </si>
  <si>
    <t>LED DRIVER SMT 12V 2A IP20 STIP D1519V0</t>
  </si>
  <si>
    <t>LED DRIVER SMT BPL 10W 3CCT D1923V0</t>
  </si>
  <si>
    <t>2RRSMT03030WVCW1</t>
  </si>
  <si>
    <t>2AJSMT06S25WCW01</t>
  </si>
  <si>
    <t>LED EINGNE FL RR 30W CW VR M1792V2 36LED</t>
  </si>
  <si>
    <t>LED DRVER SMT 25W D1665V0,1.0MM 2366EN</t>
  </si>
  <si>
    <t>2CGSMI050E5WWW01</t>
  </si>
  <si>
    <t>LED MODULE PLUG&amp;PLAY0.5W WW M1053V1 3L</t>
  </si>
  <si>
    <t>2MDSMT0512WRDCW1</t>
  </si>
  <si>
    <t>LED DRIVER SMT DL 12WRDCW D1888V1 9773AS</t>
  </si>
  <si>
    <t>2CGSMT0312W22CW5</t>
  </si>
  <si>
    <t>LED MODULE 12W CW DXM1439V2A 7605CB 28L</t>
  </si>
  <si>
    <t>2EOSMT03050WBCW1</t>
  </si>
  <si>
    <t>LED EINGNE SL 50W CWBK M1816V0A 9V 60L</t>
  </si>
  <si>
    <t>2SLSMI030E5WPK01</t>
  </si>
  <si>
    <t>LED MODULE SMT&amp;MI P&amp;P SL0.5WM1079PINK 3L</t>
  </si>
  <si>
    <t>2RRSMT03030WCW01</t>
  </si>
  <si>
    <t>LED EINGNE DOB SL 30W CW 9V M1930V0 36L</t>
  </si>
  <si>
    <t>2SLSMI050E5WBL01</t>
  </si>
  <si>
    <t>LED MODULE P&amp;P 0.5W BLUE 68UF M1079V0 3L</t>
  </si>
  <si>
    <t>2MDSMT0318WRDCW3</t>
  </si>
  <si>
    <t>LED MODULE DL 18WCWRDM1824V0A7605CB 156L</t>
  </si>
  <si>
    <t>01.01.2025</t>
  </si>
  <si>
    <t>LEDDR.SMT BKL PANEL DN20W D1088V1 2366DN</t>
  </si>
  <si>
    <t>2DNSMT0520WRDCW1</t>
  </si>
  <si>
    <t>LED MODULE P&amp;P SL0.5W CW 68UF M1079V0 3L</t>
  </si>
  <si>
    <t>2SLSMI050E5WCW02</t>
  </si>
  <si>
    <t>LED MODULE P&amp;P 0.5W WW 68UF M1079V0 3L</t>
  </si>
  <si>
    <t>2SLSMI050E5WWW01</t>
  </si>
  <si>
    <t>2RLSMT0303WSQCW1</t>
  </si>
  <si>
    <t>2RLSMT0315WRDCW1</t>
  </si>
  <si>
    <t>2CGSMT0312WSQWW1</t>
  </si>
  <si>
    <t>2BJSMT0305WRDBL1</t>
  </si>
  <si>
    <t>2BJSMT0305WRDWW2</t>
  </si>
  <si>
    <t>LED ENGINE EDGELIT DL 3WCW SQ M1341V 25L</t>
  </si>
  <si>
    <t>LED ENGINE EDGELIT DL 15WCWRD M1348V 92L</t>
  </si>
  <si>
    <t>LED MODULE 12WWWSQ DL M1708V0 7605CB 75L</t>
  </si>
  <si>
    <t>LED MODULE 5WBLDOBDL BP5336H M1675V0 16L</t>
  </si>
  <si>
    <t>LED MODULE 5WWWDOBDL BP5336H M1675V0A16L</t>
  </si>
  <si>
    <t>2S3SMT0309W22CH1</t>
  </si>
  <si>
    <t>LED ENGINESMART SEOUL9WD1936V0 2CH12+12L</t>
  </si>
  <si>
    <t>2CGSMI050E5WRE01</t>
  </si>
  <si>
    <t>LED MODULE PLUG&amp;PLAY0.5W RED M1053V1A 3L</t>
  </si>
  <si>
    <t>2RSSMT0308W22CW1</t>
  </si>
  <si>
    <t>LED MODULE 8W CW DOB M1391V2A YT2173 15L</t>
  </si>
  <si>
    <t>2ROSMT0312W22CW2</t>
  </si>
  <si>
    <t>LED MODULE12WCW M1577V0 BP5356HC 180 16L</t>
  </si>
  <si>
    <t>2BJSMT06S20WCW03</t>
  </si>
  <si>
    <t>2FBSMT06S22WCW01</t>
  </si>
  <si>
    <t>LED DRIVER SMT BT FB22WD1429V3A,MT9513SF</t>
  </si>
  <si>
    <t>2RRSMT06S20WCW05</t>
  </si>
  <si>
    <t>LED DRIVER SMT BT20WD1429V3A,9513SF1.87R</t>
  </si>
  <si>
    <t>2WPSMT1120WWIFI1</t>
  </si>
  <si>
    <t>LED DRIVER SMT S.BT20W WIFIBLEWB3LD1098V</t>
  </si>
  <si>
    <t>2AJSMT0318W22CW1</t>
  </si>
  <si>
    <t>LED MODULE 18WCWM1455V1 7605C 175LM 44L</t>
  </si>
  <si>
    <t>2HVSMT0307W22CW2</t>
  </si>
  <si>
    <t>2IKSMT0312W22CW2</t>
  </si>
  <si>
    <t>LED MODULE HV7WCWDOB M1391V2A 5336H15LED</t>
  </si>
  <si>
    <t>LED MODULE DOB IK12WCW M1449V1 7605C 30L</t>
  </si>
  <si>
    <t>2LNSMT034E9WWW01</t>
  </si>
  <si>
    <t>2MDSMT0309WRDCW2</t>
  </si>
  <si>
    <t>LEDMODULE CNDL 4E9WWW M1813V0A 7605CB 8L</t>
  </si>
  <si>
    <t>LED MODULE 9WCW DBDL M1966V0 2173E8 22L</t>
  </si>
  <si>
    <t>2SLSMT0360W22WW3</t>
  </si>
  <si>
    <t>2WPSMT0305W14CW1</t>
  </si>
  <si>
    <t>LED MODULE SL 60W WW M1587V1 2173E8 90L</t>
  </si>
  <si>
    <t>LED MODULE 5W CW DOB M1538V1 36V 8LED</t>
  </si>
  <si>
    <t>2WPSMT0312E52203</t>
  </si>
  <si>
    <t>LED MODULE DOB S.B 12.5W M1759V0 5CH 42L</t>
  </si>
  <si>
    <t>2WPSMT0312W22WW3</t>
  </si>
  <si>
    <t>LED MODULE DOB 12WWWM1439V2A 7605C 28LED</t>
  </si>
  <si>
    <t>2LDSMT0305WRDWW1</t>
  </si>
  <si>
    <t>2LDSMT0315WSQCW1</t>
  </si>
  <si>
    <t>LED MODULE DL LD5WWWRDM1181V0 5151DH 72L</t>
  </si>
  <si>
    <t>LED MODULE DL15WCWSQ M1205V0 5151DH 144L</t>
  </si>
  <si>
    <t>2PCSMT0315WRDCW1</t>
  </si>
  <si>
    <t>LED MODULE 15WCWDLRD M1215V0 5151DH 144L</t>
  </si>
  <si>
    <t>2CGSMI050E5WBL01</t>
  </si>
  <si>
    <t>LED MODULE PLUG&amp;PLAY0.5W BLUE M1053V1 3L</t>
  </si>
  <si>
    <t>2DXSMT0236W2X203</t>
  </si>
  <si>
    <t>2DXSMT0812V5A60W</t>
  </si>
  <si>
    <t>2ORSMT0215W22001</t>
  </si>
  <si>
    <t>LED DRIVER SMT NON ISO 36W2x2D1592V 9513</t>
  </si>
  <si>
    <t>LED DRIVER SMT 60W12V5A P.F≥0.80 D1591V1</t>
  </si>
  <si>
    <t>DRIVER SMT 15W MULTI PURPOSE D970V</t>
  </si>
  <si>
    <t>2ORSMT0503WRDCW2</t>
  </si>
  <si>
    <t>LED DRIVER SMT TT OR 3WRD D1286V0 9526RF</t>
  </si>
  <si>
    <t>2PCSMT0506WRDCW1</t>
  </si>
  <si>
    <t>2PCSMT0512WCCW01</t>
  </si>
  <si>
    <t>2PISMT1515WCW001</t>
  </si>
  <si>
    <t>LED DRIVER SMT TT COB PC 6W RD D1286V1</t>
  </si>
  <si>
    <t>LED DRIVER SMT BACKLIT PANEL PC12W D820V</t>
  </si>
  <si>
    <t>LED DRIVER SMT J.BOX PC15W D1225V 9773B</t>
  </si>
  <si>
    <t>2CGSMT06S20WCW02</t>
  </si>
  <si>
    <t>LED DRIVER SMT  CGL KIT 20W BT BP2366DN</t>
  </si>
  <si>
    <t>2DXSMT03S20WNW01</t>
  </si>
  <si>
    <t>LED ENGINE 20W NW M780V1A 5.7MM 93LED</t>
  </si>
  <si>
    <t>2RTSMT0307WRDPK1</t>
  </si>
  <si>
    <t>2RLSMT0315W22CW2</t>
  </si>
  <si>
    <t>LED MODULE RT7W DOB DL PINK M1277V1 15L</t>
  </si>
  <si>
    <t>LED MODULE15W ALLROUNDER M1778V1AAYT2003</t>
  </si>
  <si>
    <t>2LNSMT0305WRDPK1</t>
  </si>
  <si>
    <t>2LNSMT0305WRDRE1</t>
  </si>
  <si>
    <t>LED MODULE 5W PINKDL BP5336H M1564V0 15L</t>
  </si>
  <si>
    <t>LED MODULE 5W RED DL BP5336H M1564V0 15L</t>
  </si>
  <si>
    <t>2CGSMT0307W22WW1</t>
  </si>
  <si>
    <t>LED MODULE DB 7W WW M1412V1B 15L BP5336H</t>
  </si>
  <si>
    <t>2CGSMT0320W22CW6</t>
  </si>
  <si>
    <t>LED ENGINE BT CGL KIT 20W CW  87LED</t>
  </si>
  <si>
    <t>2CGSMT0312W22CW3</t>
  </si>
  <si>
    <t>LED ENGINE 12WCW EMGNCYM1093V1 18+26LED</t>
  </si>
  <si>
    <t>2CGSMT1412W22CW3</t>
  </si>
  <si>
    <t>LED DRIVER SMT CG12W EMECY D1535VQW2889M</t>
  </si>
  <si>
    <t>DRIVER SMT PC BT PH 36W D1807V1 2366DN</t>
  </si>
  <si>
    <t>2EVSMT06S36WCW01</t>
  </si>
  <si>
    <t>2DXSMT06S05WCW04</t>
  </si>
  <si>
    <t>LED DRIVER SMT BT 5W D1733V0 1MM 2366DN</t>
  </si>
  <si>
    <t>2RRSMT0306WRRBP2</t>
  </si>
  <si>
    <t>LED ENGINE RR 6W RND RBP M1941V0A 40+48L</t>
  </si>
  <si>
    <t>2RRSMTS506WR3CT1</t>
  </si>
  <si>
    <t>LED DRIVER SMT RR06W,3CCT D1417V0 9526RF</t>
  </si>
  <si>
    <t>2DXSMT06S24WCW01</t>
  </si>
  <si>
    <t>LED DRIVER SMT BT 24W D1733V0 YT2302EHS7</t>
  </si>
  <si>
    <t>2RTSMT0307WRDRE1</t>
  </si>
  <si>
    <t>LED MODULE RT 7W DOB DL RED M1277V1 15L</t>
  </si>
  <si>
    <t>2ORSMT0303WPK003</t>
  </si>
  <si>
    <t>LED MODULE 3WMINI DLPK M1846V0 5336H 14L</t>
  </si>
  <si>
    <t>2CGSMT0326W22CW1</t>
  </si>
  <si>
    <t>LED MODULE 26WCW M1598V0 165LM7605CB 80L</t>
  </si>
  <si>
    <t>2RTSMT0315W22CW1</t>
  </si>
  <si>
    <t>LED MODULE 15WCWDB M1449V1 175 7605C 30L</t>
  </si>
  <si>
    <t>2RRSMT03009WWW01</t>
  </si>
  <si>
    <t>LED ENGINE 9W WW 2700K BATTEN DXM734 46L</t>
  </si>
  <si>
    <t>2RLSMT0310W3CCT2</t>
  </si>
  <si>
    <t>LED MODULE BPL 10W3CCT M1942V0A 12L EACH</t>
  </si>
  <si>
    <t>2DNSMT0302WRED01</t>
  </si>
  <si>
    <t>LED MODULE SPOT LIGHT 2W RED M1771V0 3L</t>
  </si>
  <si>
    <t>2WPSMT0305W27WW1</t>
  </si>
  <si>
    <t>LED MODULE 5W WW DOB M1538V1 36V 8LED</t>
  </si>
  <si>
    <t>2HVSMT0360W22CW1</t>
  </si>
  <si>
    <t>LED MODULE HV 60W CW M1587V1 7605CB 132L</t>
  </si>
  <si>
    <t>2RRSMT0315W22CW1</t>
  </si>
  <si>
    <t>LED ENGINE 15W CW EM.BULB M1509V2 32+31L</t>
  </si>
  <si>
    <t>2HVSMI050E5WRE01</t>
  </si>
  <si>
    <t>2HVSMI050E5WWW01</t>
  </si>
  <si>
    <t>2HVSMI050E5WGN01</t>
  </si>
  <si>
    <t>2HVSMI050E5WPK01</t>
  </si>
  <si>
    <t>2HVSMI050E5WBL01</t>
  </si>
  <si>
    <t>LED MODULE DECO 0.5W RED M1679VA 1LED</t>
  </si>
  <si>
    <t>LED MODULE DECO 0.5W WW M1679VA 1LED</t>
  </si>
  <si>
    <t>LED MODULE DECO 0.5W GREEN M1679VA 1LED</t>
  </si>
  <si>
    <t>LED MODULE DECO 0.5W PINK M1679VA 1LED</t>
  </si>
  <si>
    <t>LED MODULE DECO 0.5W BLUE M1679VA 1LED</t>
  </si>
  <si>
    <t>2HVSMI050E5WCW01</t>
  </si>
  <si>
    <t>LED MODULE DECO 0.5W CW M1679VA 1LED</t>
  </si>
  <si>
    <t>2ORSMT0306WRDWW1</t>
  </si>
  <si>
    <t>LED ENGINE OR6W DL TT WW RD M1242V 10LED</t>
  </si>
  <si>
    <t>2RSSMT0305WRDCW1</t>
  </si>
  <si>
    <t>LED MODULE 5WCWDOBDLYT2173E8 M1564V0 15L</t>
  </si>
  <si>
    <t>2RSSMT0305WRDWW1</t>
  </si>
  <si>
    <t>LED MODULE 5W WW DL YT2173E8 M1564V0 15L</t>
  </si>
  <si>
    <t>2DXSMT06S20WCW0G</t>
  </si>
  <si>
    <t>LEDDRIVERSMT 20W D1733V0 US1M 6R8 2366DS</t>
  </si>
  <si>
    <t>2AJSMT0336W22CW4</t>
  </si>
  <si>
    <t>2ORSMT0330W22WW2</t>
  </si>
  <si>
    <t>LED MODULE 36WCW M1442V2A 7605CB 46+20L</t>
  </si>
  <si>
    <t>LEDMODULE OR30W DOBWW M1442V2A 66L 7605CB</t>
  </si>
  <si>
    <t>2SLSMT0330W22CW2</t>
  </si>
  <si>
    <t>LED MODULE BULB 30WCWM1442V2A 2173E8 45L</t>
  </si>
  <si>
    <t>2SLSMT1620W3CCT2</t>
  </si>
  <si>
    <t>2SLSMT1620W3CCT3</t>
  </si>
  <si>
    <t>LED DRIVER SMT BT 20W3CCT D983V1A 2366EN</t>
  </si>
  <si>
    <t>2WPSMT0309W22CW0</t>
  </si>
  <si>
    <t>2SLSMI050E5WGN01</t>
  </si>
  <si>
    <t>2SLSMI050E5WRE01</t>
  </si>
  <si>
    <t>2SLSMI050E5WPK01</t>
  </si>
  <si>
    <t>LED MODULE P&amp;P 0.5WGREEN 68UF M1079V0 3L</t>
  </si>
  <si>
    <t>LED MODULE P&amp;P 0.5W RED 68UF M1079V0 3L</t>
  </si>
  <si>
    <t>LED MODULE P&amp;P 0.5W PINK 68UF M1079V0 3L</t>
  </si>
  <si>
    <t>2DXSMT06S20WCW0A</t>
  </si>
  <si>
    <t>SMT DRIVER RR 20W DXD1429V3A,BP2366DN</t>
  </si>
  <si>
    <t>2WPSMT0309WLPF01</t>
  </si>
  <si>
    <t>LED ENGINE S.BULB 9W 5CH LPF M1590V1A</t>
  </si>
  <si>
    <t>2MDSMT0312WRDWW3</t>
  </si>
  <si>
    <t>2OVSMT0307WRDNW1</t>
  </si>
  <si>
    <t>LED MODULE DL 12WWWRDM1822V0A 7605CB 78L</t>
  </si>
  <si>
    <t>LED MODULE 7W NW DL YT2173E8 M1564V0 15L</t>
  </si>
  <si>
    <t>2WPSMT03A20WCW01</t>
  </si>
  <si>
    <t>2WPSMT03A20WNW01</t>
  </si>
  <si>
    <t>LED ENGINE AL BT 20WCW M1852V0 62+31 93L</t>
  </si>
  <si>
    <t>LED ENGINE AL BT 20W NW M1852V0 93LED</t>
  </si>
  <si>
    <t>2CGSMT0340W22CW2</t>
  </si>
  <si>
    <t>2RRSMT0306WR3CT1</t>
  </si>
  <si>
    <t>LED ENGINE RR 6W RND 3CCT M1899V0 40+40L</t>
  </si>
  <si>
    <t>2MDSMT0209WRDCW3</t>
  </si>
  <si>
    <t>LED DRIVER SMT DL 9W RD D1627V0 BP2366DN</t>
  </si>
  <si>
    <t>2RRSMT1508WRDCW1</t>
  </si>
  <si>
    <t>LED DR.SMT J.BOX 8W RD RR D1027V0A 9763</t>
  </si>
  <si>
    <t>2HBSMT0309W27WW1</t>
  </si>
  <si>
    <t>2PHSMT0307W22WW3</t>
  </si>
  <si>
    <t>L2 SMT HB 9W E27 WW M785V0 9LED</t>
  </si>
  <si>
    <t>SMT MCPCB L2 7W WW B2C M872V0 7LED</t>
  </si>
  <si>
    <t>2HBSMT0207W27CW1</t>
  </si>
  <si>
    <t>SMT BULB DRIVER 7W E27 D1273V1 BP2863AJ</t>
  </si>
  <si>
    <t>2RXSMISEX2300301</t>
  </si>
  <si>
    <t>AI &amp; SMT ASSY OF EX23003-1</t>
  </si>
  <si>
    <t>2HVSMT1012W5CH01</t>
  </si>
  <si>
    <t>LED DRIVER SMT S.BULB HV12W D1585V0B 5CH</t>
  </si>
  <si>
    <t>2HVSMTFL100WVCW1</t>
  </si>
  <si>
    <t>2RLSMT1409W22CW3</t>
  </si>
  <si>
    <t>LED DRIVER SMT FL LIGHT HV100W D1924V1A</t>
  </si>
  <si>
    <t>LED DRIVER SMT RL9W EM D1535V2A SI9773AS</t>
  </si>
  <si>
    <t>2HVSMTFL050WSL01</t>
  </si>
  <si>
    <t>LED DRIVER SMT DOB FL HV 50W D1913V1</t>
  </si>
  <si>
    <t>2WPSMT03S36WNW01</t>
  </si>
  <si>
    <t>LED ENGINE WP36W NW BATTEN DXM875V0 192L</t>
  </si>
  <si>
    <t>2CGSMI050E5WCW03</t>
  </si>
  <si>
    <t>2CGSMI050E5WWW03</t>
  </si>
  <si>
    <t>LED MODULE P&amp;P 0.5W CW 68UF M1053V1A 3L</t>
  </si>
  <si>
    <t>LED MODULE P&amp;P 0.5W WW 68UF M1053V1A 3L</t>
  </si>
  <si>
    <t>2MDSMT0306WSQNW3</t>
  </si>
  <si>
    <t>LED MODULE DL 06WNWSQ M1826V1 7605CB 22L</t>
  </si>
  <si>
    <t>2RRSMT0307WRDWW1</t>
  </si>
  <si>
    <t>LED MODULE 7W WW DL YT2173EB M1938V0 28L</t>
  </si>
  <si>
    <t>2RXSMI06EX150201</t>
  </si>
  <si>
    <t>AI &amp; SMT ASSY OF RC15020-1</t>
  </si>
  <si>
    <t>2RRSMT0305WRDRE1</t>
  </si>
  <si>
    <t>LED MODULE 5W RED DL 5336H M1675V0A 16L</t>
  </si>
  <si>
    <t>2DXSMI06EX130254</t>
  </si>
  <si>
    <t>AI&amp;SMT ASSE OF EX13025-44(B) 2P419535-2E</t>
  </si>
  <si>
    <t>2RRSMTFL050WVCW4</t>
  </si>
  <si>
    <t>LED DRIVER SMT FLOODLIGHT 50W/4P D1769V1</t>
  </si>
  <si>
    <t>2WPSMT0312W22CWA</t>
  </si>
  <si>
    <t>2WPSMT0303W14CW1</t>
  </si>
  <si>
    <t>LED MODULE 3W CW DOB M1538V1 36V 8LED</t>
  </si>
  <si>
    <t>2PHSMI050E5WCW02</t>
  </si>
  <si>
    <t>2DXSMT03S20WWW01</t>
  </si>
  <si>
    <t>LED ENGINE 20W WW M780V1A 5.7MM 93LED</t>
  </si>
  <si>
    <t>2WPSMT0215W22CW1</t>
  </si>
  <si>
    <t>LED DRIVER SMT DOB 15W B22 MOV621 D1856V</t>
  </si>
  <si>
    <t>2MDSMT0318WSQCW3</t>
  </si>
  <si>
    <t>LED MODULE DL 18WCWSQM1827V0A7605CB 156L</t>
  </si>
  <si>
    <t>2RSSMT0305WRDNW1</t>
  </si>
  <si>
    <t>2MDSMT0312WSQWW3</t>
  </si>
  <si>
    <t>LED MODULE 5W NW DL YT2173E8 M1564V0 15L</t>
  </si>
  <si>
    <t>LED MODULE DL 12WWWSQM1825V0A 7605CB 78L</t>
  </si>
  <si>
    <t>2AMSMT0330W22CW3</t>
  </si>
  <si>
    <t>LED MODULE 30W CW M1442V2A 7605CB 33+33L</t>
  </si>
  <si>
    <t>2CGSMT0320W22CW4</t>
  </si>
  <si>
    <t>LED MODULE 20WCW M1569V1 175LM7605CB 60L</t>
  </si>
  <si>
    <t>2WPSMT0310WRDCW1</t>
  </si>
  <si>
    <t>LED ENGINE WP 10W CW DL M1019V2 20LED</t>
  </si>
  <si>
    <t>2SLSMT1410W22CW2</t>
  </si>
  <si>
    <t>LED DRIVER SMT SL10W EMR. D1535V QW2889M</t>
  </si>
  <si>
    <t>2MDSMT0318WRDWW3</t>
  </si>
  <si>
    <t>2CGSMT0312WRDNW1</t>
  </si>
  <si>
    <t>LED MODULE DL 18WWWRDM1824V0A7605CB 156L</t>
  </si>
  <si>
    <t>LED MODULE 12WNWRD DL M1705V0 7605CB 75L</t>
  </si>
  <si>
    <t>2CGSMI050E5WRE03</t>
  </si>
  <si>
    <t>2CGSMI050E5WGN03</t>
  </si>
  <si>
    <t>2CGSMI050E5WBL03</t>
  </si>
  <si>
    <t>2CGSMI050E5WPK03</t>
  </si>
  <si>
    <t>LED MODULE P&amp;P 0.5W RED 68UF M1053V1A 3L</t>
  </si>
  <si>
    <t>LED MODULE P&amp;P 0.5WGREEN 68UF M1053V1A3L</t>
  </si>
  <si>
    <t>LED MODULE P&amp;P 0.5WBLUE 68UF M1053V1A 3L</t>
  </si>
  <si>
    <t>LED MODULE P&amp;P 0.5WPINK 68UF M1053V1A 3L</t>
  </si>
  <si>
    <t>2RRSMT0236W2X201</t>
  </si>
  <si>
    <t>LED DRIVER SMT ISOLATED RR36WD1820V1 5YR</t>
  </si>
  <si>
    <t>2RLSMTAR15W22CW1</t>
  </si>
  <si>
    <t>DRIVER SMT 15W ALL ROUNDER D1722V0</t>
  </si>
  <si>
    <t>2ORSMT0303WWW001</t>
  </si>
  <si>
    <t>LED ENGINE OR 3W  DL WW M1406V1 14LED</t>
  </si>
  <si>
    <t>2RLSMT0509WRDWW1</t>
  </si>
  <si>
    <t>2RLSMT0512WRDWW1</t>
  </si>
  <si>
    <t>2RLSMT0515WRDWW1</t>
  </si>
  <si>
    <t>2RLSMTCD06WRDWW1</t>
  </si>
  <si>
    <t>2MDSMT0307WRDCW2</t>
  </si>
  <si>
    <t>LED DR. SMT CYLINDER COBDL9WRD M1503V1</t>
  </si>
  <si>
    <t>LED DR.SMT CYLINDER COBDL12WRD M1503V1</t>
  </si>
  <si>
    <t>LED DR.SMT CYLINDER COBDL15WRD M1503V1</t>
  </si>
  <si>
    <t>LED DR. SMT CYLINDER COBDL6WRD M2005V0</t>
  </si>
  <si>
    <t>LED MODULE 7WCW DL M1277V1A YT2173E8 15L</t>
  </si>
  <si>
    <t>2RSSMT0305WRDPK1</t>
  </si>
  <si>
    <t>LED MODULE 5WPINKDL YT2173E8 M1564V0 15L</t>
  </si>
  <si>
    <t>2MDSMT0306WSQWW3</t>
  </si>
  <si>
    <t>LED MODULE DL 06WWWSQ M1826V1 7605CB 22L</t>
  </si>
  <si>
    <t>2ORSMT0303WGN002</t>
  </si>
  <si>
    <t>2ORSMT0303WRED01</t>
  </si>
  <si>
    <t>LED ENGINE OR 3W DL GREEN M1406V1 14LED</t>
  </si>
  <si>
    <t>LED ENGINE OR 3W DL RED M1406V1 14LED</t>
  </si>
  <si>
    <t>2SLSMI050E5W2202</t>
  </si>
  <si>
    <t>LED MODULE AUTO CLR CH 0.5W 68UF M1076</t>
  </si>
  <si>
    <t>2ORSMT0308WRDCW1</t>
  </si>
  <si>
    <t>2ORSMT0312WRDCW2</t>
  </si>
  <si>
    <t>2ORSMT0315WRDCW3</t>
  </si>
  <si>
    <t>2CGSMT0303WRDWW1</t>
  </si>
  <si>
    <t>2CGSMT0306WRDWW2</t>
  </si>
  <si>
    <t>2CGSMT0309WRDWW1</t>
  </si>
  <si>
    <t>2CGSMT0312WRDWW2</t>
  </si>
  <si>
    <t>2FBSMT0303WRDCW1</t>
  </si>
  <si>
    <t>2FBSMT0306WRDCW1</t>
  </si>
  <si>
    <t>2FBSMT0309WRDCW1</t>
  </si>
  <si>
    <t>LED EINGNE DL OR 8W CW RD M1981V1 60LED</t>
  </si>
  <si>
    <t>LED EINGNE DL OR 12WCW RD M1982V1 100LED</t>
  </si>
  <si>
    <t>LED EINGNE DL OR 15WCW RD M1975V0 125LED</t>
  </si>
  <si>
    <t>LED MODULE TT 3W WW RD M1872V0 6LED</t>
  </si>
  <si>
    <t>LED MODULE TT 6W WW RD M1870V0 5+5 LED</t>
  </si>
  <si>
    <t>LED MODULE TT 9W WW RD M1871V0A 16LED</t>
  </si>
  <si>
    <t>LED MODULE TT 12W WW RD M1873V0 20LED</t>
  </si>
  <si>
    <t>LED MODULE TT 3W CW RD M1872V0 6LED</t>
  </si>
  <si>
    <t>LED MODULE TT 6W CW RD M1870V0 10LED</t>
  </si>
  <si>
    <t>LED MODULE TT 9W CW RD M1871V0A 16LED</t>
  </si>
  <si>
    <t>2FBSMT0312WRDCW1</t>
  </si>
  <si>
    <t>LED MODULE TT 12W CW RD M1873V0 20LED</t>
  </si>
  <si>
    <t>2FBSMT0216W22CW1</t>
  </si>
  <si>
    <t>LED DRIVER SMT DOB BUL FB16WB22 D1553V0A</t>
  </si>
  <si>
    <t>2RLSMTAR09W22CW1</t>
  </si>
  <si>
    <t>DRIVER SMT ALL ROUNDER BULB 9W D1811V0</t>
  </si>
  <si>
    <t>2RSSMT0305WRDBL1</t>
  </si>
  <si>
    <t>2RSSMT0305WRDGN1</t>
  </si>
  <si>
    <t>2RSSMT0305WRDRE1</t>
  </si>
  <si>
    <t>LED MODULE 5WBLUEDL YT2173E8 M1564V0 15L</t>
  </si>
  <si>
    <t>LED MODULE 5WGREENDLYT2173E8 M1564V0 15L</t>
  </si>
  <si>
    <t>LED MODULE 5W REDDL YT2173E8 M1564V0 15L</t>
  </si>
  <si>
    <t>DAILY   KIT STATUS REPORT  MARCH-2025                                                         DSLT-SMP-750-FT-002</t>
  </si>
  <si>
    <t>2MDSMT0307WRDWW1</t>
  </si>
  <si>
    <t>LED MODULE 7WWW DL M1277V1A YT2173E8 15L</t>
  </si>
  <si>
    <t>2RRSMTFL030WVCW2</t>
  </si>
  <si>
    <t>LED DR. SMT DOB FLOOD LIGHT 30W D1912V2</t>
  </si>
  <si>
    <t>2RXSMI06EX220011</t>
  </si>
  <si>
    <t>AI &amp; SMT ASSY OF EX22001-1</t>
  </si>
  <si>
    <t>2CGSMT0309W22CW6</t>
  </si>
  <si>
    <t>LEDMODULE 9WCW M1391V2A 0.8 BP5356HC 15L</t>
  </si>
  <si>
    <t>2WPSMT0318W22CW3</t>
  </si>
  <si>
    <t>LED MODULE 18WCW M1569V1 165LM7605CB 36L</t>
  </si>
  <si>
    <t>2RRSMT0509WRDCW1</t>
  </si>
  <si>
    <t>LED DRIVER SMT TT9WRD D1027V0A 2335/9762</t>
  </si>
  <si>
    <t>2WPSMT0503WRDCW1</t>
  </si>
  <si>
    <t>2WPSMT0509WRDCW1</t>
  </si>
  <si>
    <t>2WPSMT0516WRDCW1</t>
  </si>
  <si>
    <t>LED DRIVER SMT AL COBDL 3/6WCWRD D1503V1</t>
  </si>
  <si>
    <t>LED DRIVER SMT AL COBDL 9/12W RD D1503V1</t>
  </si>
  <si>
    <t>LED DRIVER SMT AL COB DL 16W RD D1503V1</t>
  </si>
  <si>
    <t>2CGSMT1009W5CH03</t>
  </si>
  <si>
    <t>LED DRIVER SMT SMART CG 9W 5CH D1847V0B</t>
  </si>
  <si>
    <t>2SLSMT0350W22CW2</t>
  </si>
  <si>
    <t>2SLSMT0340W22CW2</t>
  </si>
  <si>
    <t>LED MODULE BULB 50WCWM1443V2A 2173E8 75L</t>
  </si>
  <si>
    <t>LED MODULE BULB 40WCWM1441V2C 2173E8 60L</t>
  </si>
  <si>
    <t>2WPSMT0307W22CW7</t>
  </si>
  <si>
    <t>LED MODULE WP7W CW M1391V2A YT2173E8 15L</t>
  </si>
  <si>
    <t>2RLSMT03S20WTIR1</t>
  </si>
  <si>
    <t>LED ENGINE TIRANGA BT RL 20W M784V 29x3L</t>
  </si>
  <si>
    <t>2RLSMT0515WRDWW2</t>
  </si>
  <si>
    <t> LED DR.SMT CYLINDER COBDL15WRD D2007V0</t>
  </si>
  <si>
    <t>2CGSMT1512WRDCW1</t>
  </si>
  <si>
    <t>LED DRIVER SMTJ.BOX DLCG12WD1225V 9772AS</t>
  </si>
  <si>
    <t>2RGSMT0315W22CW1</t>
  </si>
  <si>
    <t>L2 SMT RG 15W CW M1775V0 YT2173E8 30L MS</t>
  </si>
  <si>
    <t>2RRSMT0330W22WW1</t>
  </si>
  <si>
    <t>LED MODULE 30WWW M1442V2A 7605CB 66L</t>
  </si>
  <si>
    <t>2RRSMT0309W22CW4</t>
  </si>
  <si>
    <t>LED MODULE DB BULB RR9WCW M1925V1 15LED</t>
  </si>
  <si>
    <t>2DXSMT0315WRDCW1</t>
  </si>
  <si>
    <t>2DXSMT0306WRDNW1</t>
  </si>
  <si>
    <t>2DXSMT0315WRDNW1</t>
  </si>
  <si>
    <t>2DXSMT0306WRDCW1</t>
  </si>
  <si>
    <t>2DXSMT0306WRDWW1</t>
  </si>
  <si>
    <t>LED ENGINE 15/18WCW DLRD M1541V0 112LED</t>
  </si>
  <si>
    <t>LED ENGINE BJ 6W-12W NW RD M1542V0 75LED</t>
  </si>
  <si>
    <t>LED ENGINE 15/18WNW DLRD M1541V0 112LED</t>
  </si>
  <si>
    <t>LED ENGINE 6W-12WCW ROUND M1542V0 75LED</t>
  </si>
  <si>
    <t>LED ENGINE BJ 6W-12W WW RD M1542V0 75LED</t>
  </si>
  <si>
    <t>2CGSMT0309WRDNW1</t>
  </si>
  <si>
    <t>LED MODULE TT 9W NW RD M1871V0A 16LED</t>
  </si>
  <si>
    <t>2CGSMT0312WRDNW2</t>
  </si>
  <si>
    <t>LED MODULE TT 12W NW RD M1873V0 20LED</t>
  </si>
  <si>
    <t>2CGSMT0305W22CW2</t>
  </si>
  <si>
    <t>LEDMODULE 5WCW M1391V2A 0.8 BP5356HC 13L</t>
  </si>
  <si>
    <t>2CGSMT0314W22WW2</t>
  </si>
  <si>
    <t>LED MODULE 14WWW M1775V0 175LM7605CB 38L</t>
  </si>
  <si>
    <t>2CGSMT1425W22CW1</t>
  </si>
  <si>
    <t>LED DRIVER SMT EME.25W D1881V0 2200MAH</t>
  </si>
  <si>
    <t>2MDSMT0312WSQCW3</t>
  </si>
  <si>
    <t>2ORSMT0303WCW003</t>
  </si>
  <si>
    <t>LED MODULE DL 12WCWSQM1825V0A 7605CB 78L</t>
  </si>
  <si>
    <t>LED MODULE 3WDLCW M1846V0 YT2173E8 14L</t>
  </si>
  <si>
    <t>2HBSMT0209W3CCT1</t>
  </si>
  <si>
    <t>LED DRIVER SMT HB 9W 3CCT/AR DXD1420V1</t>
  </si>
  <si>
    <t>2CGSMT1409W22CW5</t>
  </si>
  <si>
    <t>LEDDRIVER SMT CG 9W EMR.D1492V5 QW9292S</t>
  </si>
  <si>
    <t>2WPSMT0312W22WW1</t>
  </si>
  <si>
    <t>LED ENGINE 12W WW B22 DXM793V0 12LED</t>
  </si>
  <si>
    <t>2HBSMTAR09W27WW1</t>
  </si>
  <si>
    <t>2HBSMT0309W3CCT1</t>
  </si>
  <si>
    <t>2MDSMT0307WR3CT1</t>
  </si>
  <si>
    <t>LED MODULE 9WWW ALL ROUNDER M1610V0 8LED</t>
  </si>
  <si>
    <t>LED MODULE 9W 3CCT M1610V0 8LED EACH</t>
  </si>
  <si>
    <t>LED ENGINE 7W RD 3CCT M1425V0 10+10LED</t>
  </si>
  <si>
    <t>2DXSMT0308W22CW1</t>
  </si>
  <si>
    <t>L2 SMT BULB EM 8W CW M1558V1 15+20LED</t>
  </si>
  <si>
    <t>2MDSMT0309WRDWW2</t>
  </si>
  <si>
    <t>2RRSMT03050WVCW2</t>
  </si>
  <si>
    <t>LED MODULE 9WWW DBDL M1966V0 2173E8 22L</t>
  </si>
  <si>
    <t>LED EINGNE FLOODLIGHT 50WCW9V M1793V 60L</t>
  </si>
  <si>
    <t>2CGSMT0340W27WW1</t>
  </si>
  <si>
    <t>2RLSMT0350W22WW2</t>
  </si>
  <si>
    <t>2EVSMT0350W22CW1</t>
  </si>
  <si>
    <t>LED MODULE 40W WW M1441V2C MT7605CB 88L</t>
  </si>
  <si>
    <t>LED MODULE 50W WW M1443V2A 7605CB 110L</t>
  </si>
  <si>
    <t>LED MODULE 50WCW M1443V2A 7605CB 77+33L</t>
  </si>
  <si>
    <t>2ORSMT0305WRDCW7</t>
  </si>
  <si>
    <t>LED MODULE 5WCW DL YT2173E8  M1675V0 16L</t>
  </si>
  <si>
    <t>2DXSMT0512WRDCW1</t>
  </si>
  <si>
    <t>LED DRIVER SMT D.D.DL12W D1627V MT9513SF</t>
  </si>
  <si>
    <t>2EVSMT0436WCW002</t>
  </si>
  <si>
    <t>2PCSMT03S08WWW01</t>
  </si>
  <si>
    <t>LED ENGINE BT 36W CW DXM1839V0 70LM 120L</t>
  </si>
  <si>
    <t>LED ENGINE 8W WW BATTEN DXM886V0 38LED</t>
  </si>
  <si>
    <t>2DXSMT0518WRDCW1</t>
  </si>
  <si>
    <t>LED DRIVER SMT D.D.DL18W D1627V MT9513SF</t>
  </si>
  <si>
    <t>2HVSMT1409W22CW2</t>
  </si>
  <si>
    <t>DRIVER SMT EMERGENCY 9W D1626V0 SI9773AS</t>
  </si>
  <si>
    <t>2RRSMT06S09WCW02</t>
  </si>
  <si>
    <t>LED DRIVER SMT BT RR 9W D1733V0 2366DN</t>
  </si>
  <si>
    <t>2WPSMT0312E52205</t>
  </si>
  <si>
    <t>LED MODULE DOB S.B 12.5W M1590V1B 5CH42L</t>
  </si>
  <si>
    <t>2CGSMT0312W22CW6</t>
  </si>
  <si>
    <t>LED ENGINE EMR.CG12WCW M1608V0 24+26LED</t>
  </si>
  <si>
    <t>2CGSMT1412W22CW5</t>
  </si>
  <si>
    <t>2CGSMT1415W22CW1</t>
  </si>
  <si>
    <t>LED DRIVER SMT EME.12W D1535V0A 1800mAH</t>
  </si>
  <si>
    <t>LED DRIVER SMT EME.15W D1626V0 2000mAH</t>
  </si>
  <si>
    <t>2DXSMT06S26WCW01</t>
  </si>
  <si>
    <t>LED DRIVER SMT BT 26W DXD1429V3A,SI9776B</t>
  </si>
  <si>
    <t>2MDSMT0307WRDBL2</t>
  </si>
  <si>
    <t>2MDSMT0307WRDPK2</t>
  </si>
  <si>
    <t>LEDMODULE 7WBLUEDL M1277V1A YT2173E8 15L</t>
  </si>
  <si>
    <t>LEDMODULE 7WPINKDL M1277V1A YT2173E8 15L</t>
  </si>
  <si>
    <t>2MDSMT0307WRDNW1</t>
  </si>
  <si>
    <t>LED MODULE 7WNW DL M1277V1A YT2173E8 15L</t>
  </si>
  <si>
    <t>2ORSMT0212W22CW1</t>
  </si>
  <si>
    <t>LED DRIVERSMT OR12W MOTION D1048V2 9772B</t>
  </si>
  <si>
    <t>2L1SMT1415W22CW1</t>
  </si>
  <si>
    <t>LED DR.SMTLEDURE 15WEMR. D1626V0 8723BSF</t>
  </si>
  <si>
    <t>2HVSMT1009W5CH04</t>
  </si>
  <si>
    <t>SMT DRIVER S.BULB HV9W5CHWIFI D1585V0B</t>
  </si>
  <si>
    <t>2RRSMT1506WRDCW1</t>
  </si>
  <si>
    <t>LED DRIVER SMT J.BOX RR6W D1027V 2335JS</t>
  </si>
  <si>
    <t>2ORSMT032E7W2WW1</t>
  </si>
  <si>
    <t>2CGSMT0318W22WW1</t>
  </si>
  <si>
    <t>LED MODULE DB OR 2.7WWW M1672V0 36V 6LED</t>
  </si>
  <si>
    <t>LED MODULE 18WWW M1569V1 165LM 7605CB60L</t>
  </si>
  <si>
    <t>2RSSMT03S36WCW01</t>
  </si>
  <si>
    <t>LED EINGNE BT RS36W CW M875V0 192L 26-28</t>
  </si>
  <si>
    <t>2OVSMT0307WRDWW1</t>
  </si>
  <si>
    <t>2OVSMT0307WRDCW1</t>
  </si>
  <si>
    <t>2OVSMT0307WRDBL1</t>
  </si>
  <si>
    <t>2OVSMT0307WRDGN1</t>
  </si>
  <si>
    <t>LED MODULE 7W WW DL YT2173E8 M1564V0 15L</t>
  </si>
  <si>
    <t>LED MODULE 7WCW DL YT2173E8 M1564V0 8+7L</t>
  </si>
  <si>
    <t>LED MODULE 7W BLUE DL 2173E8 M1564V0 15L</t>
  </si>
  <si>
    <t>LED MODULE 7WGREEN DL 2173E8 M1564V0 15L</t>
  </si>
  <si>
    <t>2OVSMT0307WRDPK1</t>
  </si>
  <si>
    <t>2OVSMT0307WRDRE1</t>
  </si>
  <si>
    <t>LED MODULE 7W PINK DL 2173E8 M1564V0 15L</t>
  </si>
  <si>
    <t>LED MODULE 7WRED DL YT2173E8 M1564V0 15L</t>
  </si>
  <si>
    <t>2ORSMT0303WWW004</t>
  </si>
  <si>
    <t>2ORSMT0303WWW003</t>
  </si>
  <si>
    <t>LEDMODULE 3WWW STRIKER M960V6 2173E8 14L</t>
  </si>
  <si>
    <t>LED MODULE 3WDLWW M1846V0 YT2173E8 14L</t>
  </si>
  <si>
    <t>2ORSMT0303WNW001</t>
  </si>
  <si>
    <t>LED MODULE 3WMINI DLNW M1846V0 5336H 14L</t>
  </si>
  <si>
    <t>2DNSMTSL030WVCW1</t>
  </si>
  <si>
    <t>LED DR.SMT DOB STREETLIGHT 30W D1912V2C</t>
  </si>
  <si>
    <t>2EOSMT0312W22CW1</t>
  </si>
  <si>
    <t>LED MODULE DOB 12WCWM1439V2A 7605CB 28L</t>
  </si>
  <si>
    <t>2RRSMT0307W22CW3</t>
  </si>
  <si>
    <t>LED MODULE RR 7W CW M1391V2A 2173E8 14L</t>
  </si>
  <si>
    <t>2BJSMT1412W22CW3</t>
  </si>
  <si>
    <t>LED DRIVER SMT EME.BJ12W D1535V0 9773AS</t>
  </si>
  <si>
    <t>2BJSMT1409W22CW6</t>
  </si>
  <si>
    <t>DRIVER SMT EM BULB BJ 9W D1535V0A 9773AS</t>
  </si>
  <si>
    <t>2BJSMT06S22WCW01</t>
  </si>
  <si>
    <t>LED DRIVER SMT BTBJ22WD1733V0 YT2302EHS7</t>
  </si>
  <si>
    <t>2EVSMT0312W22CW3</t>
  </si>
  <si>
    <t>LED ENGINE EMR.12WCW M1608V0 24+11+4LED</t>
  </si>
  <si>
    <t>2RSSMT06S06WCW01</t>
  </si>
  <si>
    <t>2RSSMT06S32WCW01</t>
  </si>
  <si>
    <t>LED DRIVER SMT BTRS6W D1733V0 1MM 2366DN</t>
  </si>
  <si>
    <t>LED DRIVER SMT BT RS32W D1807V1 2366DN</t>
  </si>
  <si>
    <t>2ORSMT0303WCW004</t>
  </si>
  <si>
    <t>2ORSMT0303WGN005</t>
  </si>
  <si>
    <t>2MDSMT0303WPK001</t>
  </si>
  <si>
    <t>LEDMODULE 3WCW STRIKER M960V6 2173E8 14L</t>
  </si>
  <si>
    <t>LEDMODULE 3WGN STRIKER M960V6 2173E8 14L</t>
  </si>
  <si>
    <t>LEDMODULE 3WPK STRIKER M960V6 2173E8 14L</t>
  </si>
  <si>
    <t>2MDSMT0303WWW001</t>
  </si>
  <si>
    <t>2MDSMT0303WBL001</t>
  </si>
  <si>
    <t>2MDSMT0303WGN001</t>
  </si>
  <si>
    <t>2MDSMT0303WRE001</t>
  </si>
  <si>
    <t>LEDMODULE 3WBL STRIKER M960V6 2173E8 14L</t>
  </si>
  <si>
    <t>LEDMODULE 3WRE STRIKER M960V6 2173E8 14L</t>
  </si>
  <si>
    <t>2ORSMT0303WPK004</t>
  </si>
  <si>
    <t>2ORSMT0303WRED03</t>
  </si>
  <si>
    <t>2ORSMT0303WGN004</t>
  </si>
  <si>
    <t>LED MODULE 3WDLPINK M1846V0 YT2173E8 14L</t>
  </si>
  <si>
    <t>LED MODULE 3WDLRED M1846V0 YT2173E8 14L</t>
  </si>
  <si>
    <t>LED MODULE 3WDLGREENM1846V0 YT2173E8 14L</t>
  </si>
  <si>
    <t>2MDSMT0518WRDCW1</t>
  </si>
  <si>
    <t>LED DRIVER SMT DL 18WRDCW D1088V1 9773AS</t>
  </si>
  <si>
    <t>2RLSMT0503WRDCW2</t>
  </si>
  <si>
    <t>2RLSMT0506WRDCW2</t>
  </si>
  <si>
    <t>LED DRIVER SMT EDL DL3WRD D1888V1 9772AS</t>
  </si>
  <si>
    <t>LED DRIVER SMT EDL DL6WRD D1888V1 9772AS</t>
  </si>
  <si>
    <t>2RRSMT0305WRDGN1</t>
  </si>
  <si>
    <t>2RRSMT0305WRDBL1</t>
  </si>
  <si>
    <t>LED MODULE 5WGNDL YT2173E8  M1675V0A 16L</t>
  </si>
  <si>
    <t>LED MODULE 5WBLDL YT2173E8  M1675V0A 16L</t>
  </si>
  <si>
    <t>2ORSMT0312W22CW2</t>
  </si>
  <si>
    <t>LED MODULE 12W MOTION SENCER M1760V0 15L</t>
  </si>
  <si>
    <t>2HVSMT0309W22CW1</t>
  </si>
  <si>
    <t>LED ENGINE HV9WCW EMGNCY M1093V1A15+24L</t>
  </si>
  <si>
    <t>2WPSMT1012E5W221</t>
  </si>
  <si>
    <t>LED DR.SMT ACK 12.5W D1585V0B 5CH WIFI</t>
  </si>
  <si>
    <t>2OVSMT0309W22CW5</t>
  </si>
  <si>
    <t>2WPSMT0312W22WW5</t>
  </si>
  <si>
    <t>LED MODULE DOB 12W WW M1848V1 7605CB 30L</t>
  </si>
  <si>
    <t>2PHSMT0320WCW002</t>
  </si>
  <si>
    <t>L2 SMT RADAR BATTEN PH20W DXM1497V 87LED</t>
  </si>
  <si>
    <t>2ORSMT0303WBL004</t>
  </si>
  <si>
    <t>2ORSMT0303WBL005</t>
  </si>
  <si>
    <t>LED MODULE 3WDLBLUE M1846V0 YT2173E8 14L</t>
  </si>
  <si>
    <t>2RRSMT0305WRDRE2</t>
  </si>
  <si>
    <t>2RRSMT0305WRDPK2</t>
  </si>
  <si>
    <t>LED MODULE 5WREDL YT2173E8  M1675V0A 16L</t>
  </si>
  <si>
    <t>LED MODULE 5WPKDL YT2173E8  M1675V0A 16L</t>
  </si>
  <si>
    <t>2WPSMT21S20WCW01</t>
  </si>
  <si>
    <t>LED DRIVER SMT RADAR BT WP 20W DXD1683V0</t>
  </si>
  <si>
    <t>2ORSMT0508WRDCW1</t>
  </si>
  <si>
    <t>2ORSMT0512WRDCW2</t>
  </si>
  <si>
    <t>LED DRIVER SMT DL 8W RDCW D1888V1 9772AS</t>
  </si>
  <si>
    <t>LED DRIVER SMT DL 12WRDCW D1888V1 9772AS</t>
  </si>
  <si>
    <t>2RRSMT0307WRDBL1</t>
  </si>
  <si>
    <t>2RRSMT0307WRDGN1</t>
  </si>
  <si>
    <t>2RRSMT0307WRDRE1</t>
  </si>
  <si>
    <t>2RRSMT0307WRDCW1</t>
  </si>
  <si>
    <t>LED MODULE 7WBLUE DLYT2173E8 M1938V0 28L</t>
  </si>
  <si>
    <t>LED MODULE 7WGREENDL YT2173E8M1938V0 28L</t>
  </si>
  <si>
    <t>LED MODULE 7WRED DL YT2173E8 M1938V0 28L</t>
  </si>
  <si>
    <t>LED MODULE 7W CW DL YT2173E8 M1938V0 28L</t>
  </si>
  <si>
    <t>2CGSMT148E5W22C1</t>
  </si>
  <si>
    <t>LEDDRIVER SMT CG8.5W EMR.D1492V5 QW9292S</t>
  </si>
  <si>
    <t>2JYSMT06S20WCW01</t>
  </si>
  <si>
    <t>LED DRIVER SMT JY20W2FTBT D1733V0 YT2302</t>
  </si>
  <si>
    <t>2RRSMT0305WRDNW2</t>
  </si>
  <si>
    <t>LED MODULE 5WNWDL YT2173E8  M1675V0A 16L</t>
  </si>
  <si>
    <t>2RLSMT0303WRDCW1</t>
  </si>
  <si>
    <t>LED ENGINE EDGELIT DL 3WCW RD M1342V 25L</t>
  </si>
  <si>
    <t>2RLSMT0315WSQCW1</t>
  </si>
  <si>
    <t>2RLSMT0320WRDCW1</t>
  </si>
  <si>
    <t>2RLSMT0320WSQCW1</t>
  </si>
  <si>
    <t>LED ENGINE EDGELIT DL 15WCWSQ M1347V 92L</t>
  </si>
  <si>
    <t>LED ENGINE EDGELIT DL20WCWRD M1338V 108L</t>
  </si>
  <si>
    <t>LED ENGINE EDGELIT DL20WCWSQ M1349V 108L</t>
  </si>
  <si>
    <t>2RLSMT0306WRDCW1</t>
  </si>
  <si>
    <t>2RLSMT0306WSQCW1</t>
  </si>
  <si>
    <t>2RLSMT0310WRDCW1</t>
  </si>
  <si>
    <t>2RLSMT0310WSQCW1</t>
  </si>
  <si>
    <t>LED ENGINE EDGELIT DL 6WCW RD M1344V 42L</t>
  </si>
  <si>
    <t>LED ENGINE EDGELIT DL 6WCW SQ M1343V 42L</t>
  </si>
  <si>
    <t>LED ENGINE EDGELIT DL 10WCWRD M1346V 72L</t>
  </si>
  <si>
    <t>LED ENGINE EDGELIT DL 10WCWSQ M1337V 72L</t>
  </si>
  <si>
    <t>2DXSMT06S36WCW01</t>
  </si>
  <si>
    <t>LED DRIVER SMT ALBT 36WD1807V1 BP2366DS</t>
  </si>
  <si>
    <t>2RRSMT03150WCW01</t>
  </si>
  <si>
    <t> LED EINGNE FL RR 150WCW M1796V0 ,6V 180L</t>
  </si>
  <si>
    <t>2ORSMT0305WRDWW3</t>
  </si>
  <si>
    <t>LED MODULE 5WWW DL YT2173E8  M1675V0 16L</t>
  </si>
  <si>
    <t>2JYSMT1409W22CW1</t>
  </si>
  <si>
    <t>LED DR.SMT EME.JY 9W D1535V0A 5R1 9773AS</t>
  </si>
  <si>
    <t>2CGSMT0318WRDNW1</t>
  </si>
  <si>
    <t>LED MODULE 18WNWRDDL M1844V0 7605CB 144L</t>
  </si>
  <si>
    <t>DATE:-31/03/2025</t>
  </si>
  <si>
    <t>2CGSMT1430W22CW1</t>
  </si>
  <si>
    <t>LED DRIVER SMT EME.30W D1959V0 2600MAH</t>
  </si>
  <si>
    <t>2RLSMT0509WRDCW1</t>
  </si>
  <si>
    <t>LED DRIVER SMT COB RL9WRD D1009V3 9527RF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</si>
</sst>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-* #,##0.00\ _m_k_-;\-* #,##0.00\ _m_k_-;_-* &quot;-&quot;??\ _m_k_-;_-@_-"/>
    <numFmt numFmtId="166" formatCode="_-* #,##0\ _m_k_-;\-* #,##0\ _m_k_-;_-* &quot;-&quot;??\ _m_k_-;_-@_-"/>
    <numFmt numFmtId="167" formatCode="_(* #,##0_);_(* \(#,##0\);_(* &quot;-&quot;??_);_(@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2"/>
      <color indexed="9"/>
      <name val="Arial Black"/>
      <family val="2"/>
    </font>
    <font>
      <sz val="10"/>
      <name val="Arial"/>
      <family val="2"/>
    </font>
    <font>
      <b/>
      <sz val="10"/>
      <name val="Times New Roman"/>
      <family val="1"/>
    </font>
    <font>
      <sz val="12"/>
      <color indexed="63"/>
      <name val="Berlin Sans FB"/>
      <family val="2"/>
    </font>
    <font>
      <b/>
      <sz val="16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mbria"/>
      <family val="1"/>
    </font>
    <font>
      <sz val="11"/>
      <color theme="1"/>
      <name val="Cambria"/>
      <family val="1"/>
      <scheme val="major"/>
    </font>
    <font>
      <sz val="10"/>
      <color theme="1"/>
      <name val="Arial"/>
      <family val="2"/>
    </font>
    <font>
      <b/>
      <sz val="13.5"/>
      <color rgb="FF000080"/>
      <name val="Arial"/>
      <family val="2"/>
    </font>
    <font>
      <sz val="11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5ECF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</cellStyleXfs>
  <cellXfs count="204">
    <xf numFmtId="0" fontId="0" fillId="0" borderId="0" xfId="0"/>
    <xf numFmtId="0" fontId="6" fillId="2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6" xfId="0" applyFont="1" applyBorder="1"/>
    <xf numFmtId="0" fontId="7" fillId="0" borderId="0" xfId="0" applyFont="1"/>
    <xf numFmtId="0" fontId="5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  <xf numFmtId="0" fontId="7" fillId="0" borderId="9" xfId="0" applyFont="1" applyBorder="1"/>
    <xf numFmtId="164" fontId="11" fillId="0" borderId="6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hidden="1"/>
    </xf>
    <xf numFmtId="166" fontId="14" fillId="5" borderId="6" xfId="1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wrapText="1"/>
    </xf>
    <xf numFmtId="14" fontId="8" fillId="4" borderId="6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4" fillId="0" borderId="0" xfId="0" applyFont="1" applyAlignment="1">
      <alignment horizontal="center"/>
    </xf>
    <xf numFmtId="0" fontId="14" fillId="0" borderId="0" xfId="0" applyFont="1"/>
    <xf numFmtId="0" fontId="13" fillId="9" borderId="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6" xfId="0" applyFont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1" fillId="0" borderId="0" xfId="0" applyFont="1"/>
    <xf numFmtId="0" fontId="12" fillId="11" borderId="6" xfId="0" applyFont="1" applyFill="1" applyBorder="1" applyAlignment="1">
      <alignment horizontal="center" wrapText="1"/>
    </xf>
    <xf numFmtId="14" fontId="12" fillId="11" borderId="6" xfId="0" applyNumberFormat="1" applyFont="1" applyFill="1" applyBorder="1" applyAlignment="1">
      <alignment horizontal="center" wrapText="1"/>
    </xf>
    <xf numFmtId="0" fontId="14" fillId="0" borderId="6" xfId="0" applyFont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/>
    </xf>
    <xf numFmtId="1" fontId="12" fillId="9" borderId="6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1" applyFont="1" applyAlignment="1">
      <alignment horizontal="center"/>
    </xf>
    <xf numFmtId="0" fontId="13" fillId="8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/>
    </xf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/>
    <xf numFmtId="164" fontId="14" fillId="0" borderId="6" xfId="0" applyNumberFormat="1" applyFont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wrapText="1"/>
    </xf>
    <xf numFmtId="0" fontId="12" fillId="0" borderId="0" xfId="0" applyFont="1"/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7" fontId="14" fillId="0" borderId="0" xfId="0" applyNumberFormat="1" applyFont="1"/>
    <xf numFmtId="0" fontId="11" fillId="0" borderId="9" xfId="0" applyFont="1" applyBorder="1" applyAlignment="1">
      <alignment horizontal="center" vertical="center"/>
    </xf>
    <xf numFmtId="0" fontId="14" fillId="9" borderId="6" xfId="0" applyFont="1" applyFill="1" applyBorder="1" applyAlignment="1">
      <alignment horizontal="center"/>
    </xf>
    <xf numFmtId="167" fontId="14" fillId="0" borderId="0" xfId="0" applyNumberFormat="1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167" fontId="11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12" borderId="6" xfId="0" applyFont="1" applyFill="1" applyBorder="1"/>
    <xf numFmtId="0" fontId="21" fillId="0" borderId="0" xfId="0" applyFont="1" applyAlignment="1">
      <alignment horizontal="center"/>
    </xf>
    <xf numFmtId="0" fontId="21" fillId="0" borderId="6" xfId="0" applyFont="1" applyBorder="1" applyAlignment="1">
      <alignment horizontal="center"/>
    </xf>
    <xf numFmtId="167" fontId="11" fillId="13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left"/>
    </xf>
    <xf numFmtId="0" fontId="13" fillId="12" borderId="6" xfId="0" applyFont="1" applyFill="1" applyBorder="1"/>
    <xf numFmtId="167" fontId="14" fillId="12" borderId="6" xfId="0" applyNumberFormat="1" applyFont="1" applyFill="1" applyBorder="1"/>
    <xf numFmtId="167" fontId="11" fillId="12" borderId="6" xfId="0" applyNumberFormat="1" applyFont="1" applyFill="1" applyBorder="1"/>
    <xf numFmtId="0" fontId="23" fillId="0" borderId="0" xfId="0" applyFont="1"/>
    <xf numFmtId="0" fontId="25" fillId="11" borderId="24" xfId="0" applyFont="1" applyFill="1" applyBorder="1" applyAlignment="1">
      <alignment horizontal="center" wrapText="1"/>
    </xf>
    <xf numFmtId="0" fontId="25" fillId="11" borderId="25" xfId="0" applyFont="1" applyFill="1" applyBorder="1" applyAlignment="1">
      <alignment horizontal="center" wrapText="1"/>
    </xf>
    <xf numFmtId="0" fontId="25" fillId="11" borderId="26" xfId="0" applyFont="1" applyFill="1" applyBorder="1" applyAlignment="1">
      <alignment horizontal="center" wrapText="1"/>
    </xf>
    <xf numFmtId="0" fontId="25" fillId="11" borderId="21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/>
    </xf>
    <xf numFmtId="0" fontId="25" fillId="0" borderId="25" xfId="0" applyFont="1" applyBorder="1"/>
    <xf numFmtId="0" fontId="26" fillId="0" borderId="25" xfId="0" applyFont="1" applyBorder="1" applyAlignment="1">
      <alignment horizontal="center"/>
    </xf>
    <xf numFmtId="0" fontId="26" fillId="0" borderId="25" xfId="0" applyFont="1" applyBorder="1" applyAlignment="1">
      <alignment horizontal="right"/>
    </xf>
    <xf numFmtId="0" fontId="26" fillId="0" borderId="27" xfId="0" applyFont="1" applyBorder="1"/>
    <xf numFmtId="0" fontId="26" fillId="0" borderId="23" xfId="0" applyFont="1" applyBorder="1" applyAlignment="1">
      <alignment horizontal="right"/>
    </xf>
    <xf numFmtId="0" fontId="26" fillId="0" borderId="25" xfId="0" applyFont="1" applyBorder="1"/>
    <xf numFmtId="0" fontId="26" fillId="0" borderId="27" xfId="0" applyFont="1" applyBorder="1" applyAlignment="1">
      <alignment horizontal="right"/>
    </xf>
    <xf numFmtId="0" fontId="23" fillId="0" borderId="23" xfId="0" applyFont="1" applyBorder="1"/>
    <xf numFmtId="0" fontId="26" fillId="0" borderId="23" xfId="0" applyFont="1" applyBorder="1"/>
    <xf numFmtId="0" fontId="23" fillId="14" borderId="23" xfId="0" applyFont="1" applyFill="1" applyBorder="1" applyAlignment="1">
      <alignment horizontal="center"/>
    </xf>
    <xf numFmtId="0" fontId="25" fillId="14" borderId="25" xfId="0" applyFont="1" applyFill="1" applyBorder="1"/>
    <xf numFmtId="0" fontId="25" fillId="14" borderId="25" xfId="0" applyFont="1" applyFill="1" applyBorder="1" applyAlignment="1">
      <alignment horizontal="center"/>
    </xf>
    <xf numFmtId="0" fontId="25" fillId="14" borderId="27" xfId="0" applyFont="1" applyFill="1" applyBorder="1" applyAlignment="1">
      <alignment horizontal="center"/>
    </xf>
    <xf numFmtId="0" fontId="25" fillId="14" borderId="23" xfId="0" applyFont="1" applyFill="1" applyBorder="1" applyAlignment="1">
      <alignment horizontal="center"/>
    </xf>
    <xf numFmtId="0" fontId="24" fillId="15" borderId="28" xfId="0" applyFont="1" applyFill="1" applyBorder="1"/>
    <xf numFmtId="0" fontId="24" fillId="15" borderId="25" xfId="0" applyFont="1" applyFill="1" applyBorder="1" applyAlignment="1">
      <alignment horizontal="center"/>
    </xf>
    <xf numFmtId="0" fontId="25" fillId="11" borderId="27" xfId="0" applyFont="1" applyFill="1" applyBorder="1" applyAlignment="1">
      <alignment horizontal="center" wrapText="1"/>
    </xf>
    <xf numFmtId="0" fontId="25" fillId="11" borderId="23" xfId="0" applyFont="1" applyFill="1" applyBorder="1" applyAlignment="1">
      <alignment horizontal="center" wrapText="1"/>
    </xf>
    <xf numFmtId="0" fontId="23" fillId="0" borderId="29" xfId="0" applyFont="1" applyBorder="1" applyAlignment="1">
      <alignment horizontal="center"/>
    </xf>
    <xf numFmtId="0" fontId="25" fillId="0" borderId="21" xfId="0" applyFont="1" applyBorder="1"/>
    <xf numFmtId="0" fontId="25" fillId="0" borderId="23" xfId="0" applyFont="1" applyBorder="1"/>
    <xf numFmtId="0" fontId="23" fillId="15" borderId="29" xfId="0" applyFont="1" applyFill="1" applyBorder="1" applyAlignment="1">
      <alignment horizontal="center"/>
    </xf>
    <xf numFmtId="0" fontId="25" fillId="15" borderId="23" xfId="0" applyFont="1" applyFill="1" applyBorder="1"/>
    <xf numFmtId="0" fontId="25" fillId="15" borderId="25" xfId="0" applyFont="1" applyFill="1" applyBorder="1" applyAlignment="1">
      <alignment horizontal="center"/>
    </xf>
    <xf numFmtId="0" fontId="25" fillId="15" borderId="27" xfId="0" applyFont="1" applyFill="1" applyBorder="1" applyAlignment="1">
      <alignment horizontal="center"/>
    </xf>
    <xf numFmtId="0" fontId="25" fillId="15" borderId="23" xfId="0" applyFont="1" applyFill="1" applyBorder="1" applyAlignment="1">
      <alignment horizontal="center"/>
    </xf>
    <xf numFmtId="0" fontId="24" fillId="16" borderId="23" xfId="0" applyFont="1" applyFill="1" applyBorder="1"/>
    <xf numFmtId="0" fontId="24" fillId="16" borderId="25" xfId="0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7" fillId="17" borderId="23" xfId="0" applyFont="1" applyFill="1" applyBorder="1"/>
    <xf numFmtId="0" fontId="27" fillId="17" borderId="25" xfId="0" applyFont="1" applyFill="1" applyBorder="1" applyAlignment="1">
      <alignment horizontal="center"/>
    </xf>
    <xf numFmtId="0" fontId="27" fillId="17" borderId="27" xfId="0" applyFont="1" applyFill="1" applyBorder="1" applyAlignment="1">
      <alignment horizontal="center"/>
    </xf>
    <xf numFmtId="0" fontId="27" fillId="17" borderId="23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25" fillId="18" borderId="23" xfId="0" applyFont="1" applyFill="1" applyBorder="1" applyAlignment="1">
      <alignment horizontal="center"/>
    </xf>
    <xf numFmtId="0" fontId="27" fillId="18" borderId="25" xfId="0" applyFont="1" applyFill="1" applyBorder="1" applyAlignment="1">
      <alignment horizontal="center"/>
    </xf>
    <xf numFmtId="0" fontId="27" fillId="18" borderId="24" xfId="0" applyFont="1" applyFill="1" applyBorder="1" applyAlignment="1">
      <alignment horizontal="center"/>
    </xf>
    <xf numFmtId="0" fontId="27" fillId="18" borderId="26" xfId="0" applyFont="1" applyFill="1" applyBorder="1" applyAlignment="1">
      <alignment horizontal="center"/>
    </xf>
    <xf numFmtId="0" fontId="27" fillId="18" borderId="23" xfId="0" applyFont="1" applyFill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4" fillId="8" borderId="6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7" fontId="14" fillId="0" borderId="6" xfId="0" applyNumberFormat="1" applyFont="1" applyBorder="1" applyAlignment="1">
      <alignment horizontal="center"/>
    </xf>
    <xf numFmtId="167" fontId="12" fillId="0" borderId="6" xfId="0" applyNumberFormat="1" applyFont="1" applyBorder="1" applyAlignment="1">
      <alignment vertical="center"/>
    </xf>
    <xf numFmtId="167" fontId="11" fillId="21" borderId="6" xfId="0" applyNumberFormat="1" applyFont="1" applyFill="1" applyBorder="1" applyAlignment="1">
      <alignment horizontal="center" vertical="center"/>
    </xf>
    <xf numFmtId="167" fontId="12" fillId="21" borderId="6" xfId="0" applyNumberFormat="1" applyFont="1" applyFill="1" applyBorder="1" applyAlignment="1">
      <alignment vertical="center"/>
    </xf>
    <xf numFmtId="0" fontId="13" fillId="22" borderId="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left" wrapText="1"/>
    </xf>
    <xf numFmtId="167" fontId="11" fillId="9" borderId="6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vertical="center"/>
    </xf>
    <xf numFmtId="167" fontId="12" fillId="9" borderId="6" xfId="0" applyNumberFormat="1" applyFont="1" applyFill="1" applyBorder="1" applyAlignment="1">
      <alignment vertical="center"/>
    </xf>
    <xf numFmtId="167" fontId="14" fillId="0" borderId="6" xfId="0" applyNumberFormat="1" applyFont="1" applyBorder="1" applyAlignment="1">
      <alignment horizontal="center" vertical="center"/>
    </xf>
    <xf numFmtId="167" fontId="19" fillId="0" borderId="6" xfId="0" applyNumberFormat="1" applyFont="1" applyBorder="1"/>
    <xf numFmtId="167" fontId="12" fillId="9" borderId="6" xfId="0" applyNumberFormat="1" applyFont="1" applyFill="1" applyBorder="1" applyAlignment="1">
      <alignment horizontal="center" vertical="center" wrapText="1"/>
    </xf>
    <xf numFmtId="167" fontId="14" fillId="9" borderId="6" xfId="0" applyNumberFormat="1" applyFont="1" applyFill="1" applyBorder="1"/>
    <xf numFmtId="167" fontId="11" fillId="19" borderId="6" xfId="0" applyNumberFormat="1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9" borderId="6" xfId="0" applyFont="1" applyFill="1" applyBorder="1" applyAlignment="1">
      <alignment vertical="center"/>
    </xf>
    <xf numFmtId="0" fontId="32" fillId="0" borderId="6" xfId="0" applyFont="1" applyBorder="1"/>
    <xf numFmtId="0" fontId="0" fillId="0" borderId="6" xfId="0" applyBorder="1"/>
    <xf numFmtId="1" fontId="33" fillId="0" borderId="6" xfId="1" applyNumberFormat="1" applyFont="1" applyBorder="1" applyAlignment="1">
      <alignment horizontal="center" vertical="center" wrapText="1"/>
    </xf>
    <xf numFmtId="1" fontId="19" fillId="22" borderId="6" xfId="1" applyNumberFormat="1" applyFont="1" applyFill="1" applyBorder="1" applyAlignment="1">
      <alignment horizontal="center" vertical="center" wrapText="1"/>
    </xf>
    <xf numFmtId="1" fontId="33" fillId="0" borderId="6" xfId="1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/>
    </xf>
    <xf numFmtId="1" fontId="31" fillId="20" borderId="6" xfId="0" applyNumberFormat="1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 wrapText="1"/>
    </xf>
    <xf numFmtId="0" fontId="31" fillId="9" borderId="6" xfId="0" applyFont="1" applyFill="1" applyBorder="1" applyAlignment="1">
      <alignment horizontal="left" wrapText="1"/>
    </xf>
    <xf numFmtId="1" fontId="31" fillId="20" borderId="6" xfId="0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vertical="center"/>
    </xf>
    <xf numFmtId="0" fontId="36" fillId="0" borderId="6" xfId="0" applyFont="1" applyBorder="1"/>
    <xf numFmtId="0" fontId="36" fillId="9" borderId="6" xfId="0" applyFont="1" applyFill="1" applyBorder="1"/>
    <xf numFmtId="4" fontId="14" fillId="0" borderId="6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/>
    </xf>
    <xf numFmtId="167" fontId="12" fillId="9" borderId="6" xfId="0" applyNumberFormat="1" applyFont="1" applyFill="1" applyBorder="1" applyAlignment="1">
      <alignment horizontal="left" vertical="center"/>
    </xf>
    <xf numFmtId="0" fontId="36" fillId="0" borderId="9" xfId="0" applyFont="1" applyBorder="1"/>
    <xf numFmtId="0" fontId="37" fillId="23" borderId="6" xfId="0" applyFont="1" applyFill="1" applyBorder="1" applyAlignment="1">
      <alignment vertical="center"/>
    </xf>
    <xf numFmtId="0" fontId="38" fillId="0" borderId="0" xfId="0" applyFont="1"/>
    <xf numFmtId="1" fontId="33" fillId="0" borderId="6" xfId="1" applyNumberFormat="1" applyFont="1" applyFill="1" applyBorder="1" applyAlignment="1">
      <alignment horizontal="center" vertical="center" wrapText="1"/>
    </xf>
    <xf numFmtId="0" fontId="36" fillId="21" borderId="6" xfId="0" applyFont="1" applyFill="1" applyBorder="1"/>
    <xf numFmtId="0" fontId="39" fillId="0" borderId="6" xfId="0" applyFont="1" applyBorder="1" applyAlignment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1" fillId="20" borderId="7" xfId="0" applyFont="1" applyFill="1" applyBorder="1" applyAlignment="1">
      <alignment horizontal="right" vertical="center"/>
    </xf>
    <xf numFmtId="0" fontId="31" fillId="20" borderId="19" xfId="0" applyFont="1" applyFill="1" applyBorder="1" applyAlignment="1">
      <alignment horizontal="right" vertical="center"/>
    </xf>
    <xf numFmtId="0" fontId="31" fillId="20" borderId="5" xfId="0" applyFont="1" applyFill="1" applyBorder="1" applyAlignment="1">
      <alignment horizontal="right" vertical="center"/>
    </xf>
    <xf numFmtId="0" fontId="16" fillId="10" borderId="6" xfId="0" applyFont="1" applyFill="1" applyBorder="1" applyAlignment="1">
      <alignment horizontal="left" vertical="center"/>
    </xf>
    <xf numFmtId="0" fontId="12" fillId="11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2" fillId="9" borderId="7" xfId="0" applyFont="1" applyFill="1" applyBorder="1" applyAlignment="1">
      <alignment horizontal="right" vertical="center"/>
    </xf>
    <xf numFmtId="0" fontId="12" fillId="9" borderId="19" xfId="0" applyFont="1" applyFill="1" applyBorder="1" applyAlignment="1">
      <alignment horizontal="right" vertical="center"/>
    </xf>
    <xf numFmtId="0" fontId="12" fillId="9" borderId="5" xfId="0" applyFont="1" applyFill="1" applyBorder="1" applyAlignment="1">
      <alignment horizontal="right" vertical="center"/>
    </xf>
    <xf numFmtId="0" fontId="12" fillId="9" borderId="6" xfId="0" applyFont="1" applyFill="1" applyBorder="1" applyAlignment="1">
      <alignment horizontal="right"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5" fillId="11" borderId="22" xfId="0" applyFont="1" applyFill="1" applyBorder="1" applyAlignment="1">
      <alignment horizontal="center" wrapText="1"/>
    </xf>
    <xf numFmtId="0" fontId="25" fillId="11" borderId="23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2 2" xfId="3" xr:uid="{00000000-0005-0000-0000-000003000000}"/>
  </cellStyles>
  <dxfs count="62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D5ECF1"/>
      <color rgb="FFD3F4FB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47625</xdr:rowOff>
    </xdr:from>
    <xdr:to>
      <xdr:col>2</xdr:col>
      <xdr:colOff>9525</xdr:colOff>
      <xdr:row>53</xdr:row>
      <xdr:rowOff>47625</xdr:rowOff>
    </xdr:to>
    <xdr:sp macro="" textlink="">
      <xdr:nvSpPr>
        <xdr:cNvPr id="48082721" name="Line 24">
          <a:extLst>
            <a:ext uri="{FF2B5EF4-FFF2-40B4-BE49-F238E27FC236}">
              <a16:creationId xmlns:a16="http://schemas.microsoft.com/office/drawing/2014/main" id="{00000000-0008-0000-0000-000021AFDD02}"/>
            </a:ext>
          </a:extLst>
        </xdr:cNvPr>
        <xdr:cNvSpPr>
          <a:spLocks noChangeShapeType="1"/>
        </xdr:cNvSpPr>
      </xdr:nvSpPr>
      <xdr:spPr bwMode="auto">
        <a:xfrm>
          <a:off x="149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54</xdr:row>
      <xdr:rowOff>47625</xdr:rowOff>
    </xdr:from>
    <xdr:to>
      <xdr:col>2</xdr:col>
      <xdr:colOff>9525</xdr:colOff>
      <xdr:row>54</xdr:row>
      <xdr:rowOff>47625</xdr:rowOff>
    </xdr:to>
    <xdr:sp macro="" textlink="">
      <xdr:nvSpPr>
        <xdr:cNvPr id="48082722" name="Line 26">
          <a:extLst>
            <a:ext uri="{FF2B5EF4-FFF2-40B4-BE49-F238E27FC236}">
              <a16:creationId xmlns:a16="http://schemas.microsoft.com/office/drawing/2014/main" id="{00000000-0008-0000-0000-000022AFDD02}"/>
            </a:ext>
          </a:extLst>
        </xdr:cNvPr>
        <xdr:cNvSpPr>
          <a:spLocks noChangeShapeType="1"/>
        </xdr:cNvSpPr>
      </xdr:nvSpPr>
      <xdr:spPr bwMode="auto">
        <a:xfrm>
          <a:off x="149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53</xdr:row>
      <xdr:rowOff>47625</xdr:rowOff>
    </xdr:from>
    <xdr:to>
      <xdr:col>2</xdr:col>
      <xdr:colOff>9525</xdr:colOff>
      <xdr:row>53</xdr:row>
      <xdr:rowOff>47625</xdr:rowOff>
    </xdr:to>
    <xdr:sp macro="" textlink="">
      <xdr:nvSpPr>
        <xdr:cNvPr id="48096009" name="Line 1">
          <a:extLst>
            <a:ext uri="{FF2B5EF4-FFF2-40B4-BE49-F238E27FC236}">
              <a16:creationId xmlns:a16="http://schemas.microsoft.com/office/drawing/2014/main" id="{00000000-0008-0000-0100-000009E3DD02}"/>
            </a:ext>
          </a:extLst>
        </xdr:cNvPr>
        <xdr:cNvSpPr>
          <a:spLocks noChangeShapeType="1"/>
        </xdr:cNvSpPr>
      </xdr:nvSpPr>
      <xdr:spPr bwMode="auto">
        <a:xfrm>
          <a:off x="1495425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54</xdr:row>
      <xdr:rowOff>47625</xdr:rowOff>
    </xdr:from>
    <xdr:to>
      <xdr:col>2</xdr:col>
      <xdr:colOff>9525</xdr:colOff>
      <xdr:row>54</xdr:row>
      <xdr:rowOff>47625</xdr:rowOff>
    </xdr:to>
    <xdr:sp macro="" textlink="">
      <xdr:nvSpPr>
        <xdr:cNvPr id="48096010" name="Line 2">
          <a:extLst>
            <a:ext uri="{FF2B5EF4-FFF2-40B4-BE49-F238E27FC236}">
              <a16:creationId xmlns:a16="http://schemas.microsoft.com/office/drawing/2014/main" id="{00000000-0008-0000-0100-00000AE3DD02}"/>
            </a:ext>
          </a:extLst>
        </xdr:cNvPr>
        <xdr:cNvSpPr>
          <a:spLocks noChangeShapeType="1"/>
        </xdr:cNvSpPr>
      </xdr:nvSpPr>
      <xdr:spPr bwMode="auto">
        <a:xfrm>
          <a:off x="1495425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47625</xdr:rowOff>
    </xdr:from>
    <xdr:to>
      <xdr:col>2</xdr:col>
      <xdr:colOff>9525</xdr:colOff>
      <xdr:row>55</xdr:row>
      <xdr:rowOff>47625</xdr:rowOff>
    </xdr:to>
    <xdr:sp macro="" textlink="">
      <xdr:nvSpPr>
        <xdr:cNvPr id="48096011" name="Line 3">
          <a:extLst>
            <a:ext uri="{FF2B5EF4-FFF2-40B4-BE49-F238E27FC236}">
              <a16:creationId xmlns:a16="http://schemas.microsoft.com/office/drawing/2014/main" id="{00000000-0008-0000-0100-00000BE3DD02}"/>
            </a:ext>
          </a:extLst>
        </xdr:cNvPr>
        <xdr:cNvSpPr>
          <a:spLocks noChangeShapeType="1"/>
        </xdr:cNvSpPr>
      </xdr:nvSpPr>
      <xdr:spPr bwMode="auto">
        <a:xfrm>
          <a:off x="1495425" y="904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56</xdr:row>
      <xdr:rowOff>47625</xdr:rowOff>
    </xdr:from>
    <xdr:to>
      <xdr:col>2</xdr:col>
      <xdr:colOff>9525</xdr:colOff>
      <xdr:row>56</xdr:row>
      <xdr:rowOff>47625</xdr:rowOff>
    </xdr:to>
    <xdr:sp macro="" textlink="">
      <xdr:nvSpPr>
        <xdr:cNvPr id="48096012" name="Line 4">
          <a:extLst>
            <a:ext uri="{FF2B5EF4-FFF2-40B4-BE49-F238E27FC236}">
              <a16:creationId xmlns:a16="http://schemas.microsoft.com/office/drawing/2014/main" id="{00000000-0008-0000-0100-00000CE3DD02}"/>
            </a:ext>
          </a:extLst>
        </xdr:cNvPr>
        <xdr:cNvSpPr>
          <a:spLocks noChangeShapeType="1"/>
        </xdr:cNvSpPr>
      </xdr:nvSpPr>
      <xdr:spPr bwMode="auto">
        <a:xfrm>
          <a:off x="1495425" y="921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47625</xdr:rowOff>
    </xdr:from>
    <xdr:to>
      <xdr:col>2</xdr:col>
      <xdr:colOff>9525</xdr:colOff>
      <xdr:row>53</xdr:row>
      <xdr:rowOff>47625</xdr:rowOff>
    </xdr:to>
    <xdr:sp macro="" textlink="">
      <xdr:nvSpPr>
        <xdr:cNvPr id="48096009" name="Line 1">
          <a:extLst>
            <a:ext uri="{FF2B5EF4-FFF2-40B4-BE49-F238E27FC236}">
              <a16:creationId xmlns:a16="http://schemas.microsoft.com/office/drawing/2014/main" id="{00000000-0008-0000-0100-000009E3DD02}"/>
            </a:ext>
          </a:extLst>
        </xdr:cNvPr>
        <xdr:cNvSpPr>
          <a:spLocks noChangeShapeType="1"/>
        </xdr:cNvSpPr>
      </xdr:nvSpPr>
      <xdr:spPr bwMode="auto">
        <a:xfrm>
          <a:off x="1495425" y="872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54</xdr:row>
      <xdr:rowOff>47625</xdr:rowOff>
    </xdr:from>
    <xdr:to>
      <xdr:col>2</xdr:col>
      <xdr:colOff>9525</xdr:colOff>
      <xdr:row>54</xdr:row>
      <xdr:rowOff>47625</xdr:rowOff>
    </xdr:to>
    <xdr:sp macro="" textlink="">
      <xdr:nvSpPr>
        <xdr:cNvPr id="48096010" name="Line 2">
          <a:extLst>
            <a:ext uri="{FF2B5EF4-FFF2-40B4-BE49-F238E27FC236}">
              <a16:creationId xmlns:a16="http://schemas.microsoft.com/office/drawing/2014/main" id="{00000000-0008-0000-0100-00000AE3DD02}"/>
            </a:ext>
          </a:extLst>
        </xdr:cNvPr>
        <xdr:cNvSpPr>
          <a:spLocks noChangeShapeType="1"/>
        </xdr:cNvSpPr>
      </xdr:nvSpPr>
      <xdr:spPr bwMode="auto">
        <a:xfrm>
          <a:off x="1495425" y="888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55</xdr:row>
      <xdr:rowOff>47625</xdr:rowOff>
    </xdr:from>
    <xdr:to>
      <xdr:col>2</xdr:col>
      <xdr:colOff>9525</xdr:colOff>
      <xdr:row>55</xdr:row>
      <xdr:rowOff>47625</xdr:rowOff>
    </xdr:to>
    <xdr:sp macro="" textlink="">
      <xdr:nvSpPr>
        <xdr:cNvPr id="48096011" name="Line 3">
          <a:extLst>
            <a:ext uri="{FF2B5EF4-FFF2-40B4-BE49-F238E27FC236}">
              <a16:creationId xmlns:a16="http://schemas.microsoft.com/office/drawing/2014/main" id="{00000000-0008-0000-0100-00000BE3DD02}"/>
            </a:ext>
          </a:extLst>
        </xdr:cNvPr>
        <xdr:cNvSpPr>
          <a:spLocks noChangeShapeType="1"/>
        </xdr:cNvSpPr>
      </xdr:nvSpPr>
      <xdr:spPr bwMode="auto">
        <a:xfrm>
          <a:off x="1495425" y="904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56</xdr:row>
      <xdr:rowOff>47625</xdr:rowOff>
    </xdr:from>
    <xdr:to>
      <xdr:col>2</xdr:col>
      <xdr:colOff>9525</xdr:colOff>
      <xdr:row>56</xdr:row>
      <xdr:rowOff>47625</xdr:rowOff>
    </xdr:to>
    <xdr:sp macro="" textlink="">
      <xdr:nvSpPr>
        <xdr:cNvPr id="48096012" name="Line 4">
          <a:extLst>
            <a:ext uri="{FF2B5EF4-FFF2-40B4-BE49-F238E27FC236}">
              <a16:creationId xmlns:a16="http://schemas.microsoft.com/office/drawing/2014/main" id="{00000000-0008-0000-0100-00000CE3DD02}"/>
            </a:ext>
          </a:extLst>
        </xdr:cNvPr>
        <xdr:cNvSpPr>
          <a:spLocks noChangeShapeType="1"/>
        </xdr:cNvSpPr>
      </xdr:nvSpPr>
      <xdr:spPr bwMode="auto">
        <a:xfrm>
          <a:off x="1495425" y="9210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5"/>
  <sheetViews>
    <sheetView topLeftCell="A1048576" workbookViewId="0">
      <selection sqref="A1:IV65536"/>
    </sheetView>
  </sheetViews>
  <sheetFormatPr defaultRowHeight="12.75" zeroHeight="1" x14ac:dyDescent="0.2"/>
  <cols>
    <col min="1" max="1" width="4.85546875" style="14" customWidth="1"/>
    <col min="2" max="2" width="17.42578125" style="14" customWidth="1"/>
    <col min="3" max="3" width="12.140625" style="14" customWidth="1"/>
    <col min="4" max="4" width="29.42578125" style="14" customWidth="1"/>
    <col min="5" max="5" width="10.140625" style="14" customWidth="1"/>
    <col min="6" max="6" width="22.7109375" style="14" customWidth="1"/>
    <col min="7" max="7" width="20.5703125" style="14" customWidth="1"/>
    <col min="8" max="8" width="17.5703125" customWidth="1"/>
    <col min="9" max="9" width="14.28515625" customWidth="1"/>
  </cols>
  <sheetData>
    <row r="1" spans="1:9" ht="20.25" hidden="1" thickBot="1" x14ac:dyDescent="0.45">
      <c r="A1" s="11"/>
      <c r="B1" s="11"/>
      <c r="C1" s="12" t="s">
        <v>9</v>
      </c>
      <c r="D1" s="12"/>
      <c r="E1" s="12"/>
      <c r="F1" s="12"/>
      <c r="G1" s="12"/>
      <c r="H1" s="1"/>
      <c r="I1" s="1"/>
    </row>
    <row r="2" spans="1:9" hidden="1" x14ac:dyDescent="0.2">
      <c r="A2" s="13"/>
      <c r="B2" s="3" t="s">
        <v>2</v>
      </c>
      <c r="C2" s="2" t="s">
        <v>3</v>
      </c>
      <c r="D2" s="2" t="s">
        <v>1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</row>
    <row r="3" spans="1:9" hidden="1" x14ac:dyDescent="0.2">
      <c r="A3" s="13">
        <v>1</v>
      </c>
      <c r="B3" s="5"/>
      <c r="C3" s="6"/>
      <c r="D3" s="7"/>
      <c r="E3" s="7"/>
      <c r="F3" s="7"/>
      <c r="G3" s="7"/>
      <c r="H3" s="8"/>
      <c r="I3" s="9"/>
    </row>
    <row r="4" spans="1:9" hidden="1" x14ac:dyDescent="0.2">
      <c r="A4" s="13">
        <v>2</v>
      </c>
      <c r="B4" s="5"/>
      <c r="C4" s="6"/>
      <c r="D4" s="7"/>
      <c r="E4" s="7"/>
      <c r="F4" s="7"/>
      <c r="G4" s="7"/>
      <c r="H4" s="8"/>
      <c r="I4" s="9"/>
    </row>
    <row r="5" spans="1:9" hidden="1" x14ac:dyDescent="0.2">
      <c r="A5" s="13">
        <v>3</v>
      </c>
      <c r="B5" s="5"/>
      <c r="C5" s="6"/>
      <c r="D5" s="7"/>
      <c r="E5" s="7"/>
      <c r="F5" s="7"/>
      <c r="G5" s="7"/>
      <c r="H5" s="8"/>
      <c r="I5" s="9"/>
    </row>
    <row r="6" spans="1:9" hidden="1" x14ac:dyDescent="0.2">
      <c r="A6" s="13">
        <v>4</v>
      </c>
      <c r="B6" s="5"/>
      <c r="C6" s="6"/>
      <c r="D6" s="7"/>
      <c r="E6" s="7"/>
      <c r="F6" s="7"/>
      <c r="G6" s="7"/>
      <c r="H6" s="9"/>
      <c r="I6" s="9"/>
    </row>
    <row r="7" spans="1:9" hidden="1" x14ac:dyDescent="0.2">
      <c r="A7" s="13">
        <v>5</v>
      </c>
      <c r="B7" s="5"/>
      <c r="C7" s="6"/>
      <c r="D7" s="7"/>
      <c r="E7" s="7"/>
      <c r="F7" s="7"/>
      <c r="G7" s="7"/>
      <c r="H7" s="9"/>
      <c r="I7" s="9"/>
    </row>
    <row r="8" spans="1:9" hidden="1" x14ac:dyDescent="0.2">
      <c r="A8" s="13">
        <v>6</v>
      </c>
      <c r="B8" s="5"/>
      <c r="C8" s="6"/>
      <c r="D8" s="7"/>
      <c r="E8" s="7"/>
      <c r="F8" s="7"/>
      <c r="G8" s="7"/>
      <c r="H8" s="9"/>
      <c r="I8" s="9"/>
    </row>
    <row r="9" spans="1:9" hidden="1" x14ac:dyDescent="0.2">
      <c r="A9" s="13">
        <v>7</v>
      </c>
      <c r="B9" s="5"/>
      <c r="C9" s="6"/>
      <c r="D9" s="7"/>
      <c r="E9" s="7"/>
      <c r="F9" s="7"/>
      <c r="G9" s="7"/>
      <c r="H9" s="9"/>
      <c r="I9" s="9"/>
    </row>
    <row r="10" spans="1:9" hidden="1" x14ac:dyDescent="0.2">
      <c r="A10" s="13">
        <v>8</v>
      </c>
      <c r="B10" s="5"/>
      <c r="C10" s="6"/>
      <c r="D10" s="7"/>
      <c r="E10" s="7"/>
      <c r="F10" s="7"/>
      <c r="G10" s="7"/>
      <c r="H10" s="9"/>
      <c r="I10" s="9"/>
    </row>
    <row r="11" spans="1:9" hidden="1" x14ac:dyDescent="0.2">
      <c r="A11" s="13">
        <v>9</v>
      </c>
      <c r="B11" s="5"/>
      <c r="C11" s="6"/>
      <c r="D11" s="7"/>
      <c r="E11" s="7"/>
      <c r="F11" s="7"/>
      <c r="G11" s="7"/>
      <c r="H11" s="9"/>
      <c r="I11" s="9"/>
    </row>
    <row r="12" spans="1:9" hidden="1" x14ac:dyDescent="0.2">
      <c r="A12" s="13">
        <v>10</v>
      </c>
      <c r="B12" s="6"/>
      <c r="C12" s="6"/>
      <c r="D12" s="7"/>
      <c r="E12" s="7"/>
      <c r="F12" s="7"/>
      <c r="G12" s="7"/>
      <c r="H12" s="9"/>
      <c r="I12" s="9"/>
    </row>
    <row r="13" spans="1:9" hidden="1" x14ac:dyDescent="0.2">
      <c r="A13" s="13">
        <v>11</v>
      </c>
      <c r="B13" s="6"/>
      <c r="C13" s="6"/>
      <c r="D13" s="7"/>
      <c r="E13" s="7"/>
      <c r="F13" s="7"/>
      <c r="G13" s="7"/>
      <c r="H13" s="9"/>
      <c r="I13" s="9"/>
    </row>
    <row r="14" spans="1:9" hidden="1" x14ac:dyDescent="0.2">
      <c r="A14" s="13">
        <v>12</v>
      </c>
      <c r="B14" s="6"/>
      <c r="C14" s="6"/>
      <c r="D14" s="7"/>
      <c r="E14" s="7"/>
      <c r="F14" s="7"/>
      <c r="G14" s="7"/>
      <c r="H14" s="9"/>
      <c r="I14" s="9"/>
    </row>
    <row r="15" spans="1:9" hidden="1" x14ac:dyDescent="0.2">
      <c r="A15" s="13">
        <v>13</v>
      </c>
      <c r="B15" s="6"/>
      <c r="C15" s="6"/>
      <c r="D15" s="7"/>
      <c r="E15" s="7"/>
      <c r="F15" s="7"/>
      <c r="G15" s="7"/>
      <c r="H15" s="9"/>
      <c r="I15" s="9"/>
    </row>
    <row r="16" spans="1:9" hidden="1" x14ac:dyDescent="0.2">
      <c r="A16" s="13">
        <v>14</v>
      </c>
      <c r="B16" s="6"/>
      <c r="C16" s="6"/>
      <c r="D16" s="7"/>
      <c r="E16" s="7"/>
      <c r="F16" s="7"/>
      <c r="G16" s="7"/>
      <c r="H16" s="9"/>
      <c r="I16" s="9"/>
    </row>
    <row r="17" spans="1:9" hidden="1" x14ac:dyDescent="0.2">
      <c r="A17" s="13">
        <v>15</v>
      </c>
      <c r="B17" s="6"/>
      <c r="C17" s="6"/>
      <c r="D17" s="7"/>
      <c r="E17" s="7"/>
      <c r="F17" s="7"/>
      <c r="G17" s="7"/>
      <c r="H17" s="9"/>
      <c r="I17" s="9"/>
    </row>
    <row r="18" spans="1:9" hidden="1" x14ac:dyDescent="0.2">
      <c r="A18" s="13">
        <v>16</v>
      </c>
      <c r="B18" s="6"/>
      <c r="C18" s="6"/>
      <c r="D18" s="7"/>
      <c r="E18" s="7"/>
      <c r="F18" s="7"/>
      <c r="G18" s="7"/>
      <c r="H18" s="9"/>
      <c r="I18" s="9"/>
    </row>
    <row r="19" spans="1:9" hidden="1" x14ac:dyDescent="0.2">
      <c r="A19" s="13">
        <v>17</v>
      </c>
      <c r="B19" s="7"/>
      <c r="C19" s="6"/>
      <c r="D19" s="7"/>
      <c r="E19" s="7"/>
      <c r="F19" s="7"/>
      <c r="G19" s="7"/>
      <c r="H19" s="9"/>
      <c r="I19" s="9"/>
    </row>
    <row r="20" spans="1:9" hidden="1" x14ac:dyDescent="0.2">
      <c r="A20" s="13">
        <v>18</v>
      </c>
      <c r="B20" s="7"/>
      <c r="C20" s="6"/>
      <c r="D20" s="7"/>
      <c r="E20" s="7"/>
      <c r="F20" s="7"/>
      <c r="G20" s="7"/>
      <c r="H20" s="9"/>
      <c r="I20" s="9"/>
    </row>
    <row r="21" spans="1:9" hidden="1" x14ac:dyDescent="0.2">
      <c r="A21" s="13">
        <v>19</v>
      </c>
      <c r="B21" s="7"/>
      <c r="C21" s="6"/>
      <c r="D21" s="7"/>
      <c r="E21" s="7"/>
      <c r="F21" s="7"/>
      <c r="G21" s="7"/>
      <c r="H21" s="9"/>
      <c r="I21" s="9"/>
    </row>
    <row r="22" spans="1:9" hidden="1" x14ac:dyDescent="0.2">
      <c r="A22" s="13">
        <v>20</v>
      </c>
      <c r="B22" s="7"/>
      <c r="C22" s="6"/>
      <c r="D22" s="7"/>
      <c r="E22" s="7"/>
      <c r="F22" s="7"/>
      <c r="G22" s="7"/>
      <c r="H22" s="9"/>
      <c r="I22" s="9"/>
    </row>
    <row r="23" spans="1:9" hidden="1" x14ac:dyDescent="0.2">
      <c r="A23" s="13">
        <v>21</v>
      </c>
      <c r="B23" s="7"/>
      <c r="C23" s="6"/>
      <c r="D23" s="7"/>
      <c r="E23" s="7"/>
      <c r="F23" s="7"/>
      <c r="G23" s="7"/>
      <c r="H23" s="9"/>
      <c r="I23" s="9"/>
    </row>
    <row r="24" spans="1:9" hidden="1" x14ac:dyDescent="0.2">
      <c r="A24" s="13">
        <v>22</v>
      </c>
      <c r="B24" s="7"/>
      <c r="C24" s="6"/>
      <c r="D24" s="7"/>
      <c r="E24" s="7"/>
      <c r="F24" s="7"/>
      <c r="G24" s="7"/>
      <c r="H24" s="9"/>
      <c r="I24" s="9"/>
    </row>
    <row r="25" spans="1:9" hidden="1" x14ac:dyDescent="0.2">
      <c r="A25" s="13">
        <v>23</v>
      </c>
      <c r="B25" s="7"/>
      <c r="C25" s="6"/>
      <c r="D25" s="7"/>
      <c r="E25" s="7"/>
      <c r="F25" s="7"/>
      <c r="G25" s="7"/>
      <c r="H25" s="9"/>
      <c r="I25" s="9"/>
    </row>
    <row r="26" spans="1:9" hidden="1" x14ac:dyDescent="0.2">
      <c r="A26" s="13">
        <v>24</v>
      </c>
      <c r="B26" s="7"/>
      <c r="C26" s="6"/>
      <c r="D26" s="7"/>
      <c r="E26" s="7"/>
      <c r="F26" s="7"/>
      <c r="G26" s="7"/>
      <c r="H26" s="9"/>
      <c r="I26" s="9"/>
    </row>
    <row r="27" spans="1:9" hidden="1" x14ac:dyDescent="0.2">
      <c r="A27" s="13">
        <v>25</v>
      </c>
      <c r="B27" s="7"/>
      <c r="C27" s="6"/>
      <c r="D27" s="7"/>
      <c r="E27" s="7"/>
      <c r="F27" s="7"/>
      <c r="G27" s="7"/>
      <c r="H27" s="9"/>
      <c r="I27" s="9"/>
    </row>
    <row r="28" spans="1:9" hidden="1" x14ac:dyDescent="0.2">
      <c r="A28" s="13">
        <v>26</v>
      </c>
      <c r="B28" s="7"/>
      <c r="C28" s="6"/>
      <c r="D28" s="7"/>
      <c r="E28" s="7"/>
      <c r="F28" s="7"/>
      <c r="G28" s="7"/>
      <c r="H28" s="9"/>
      <c r="I28" s="9"/>
    </row>
    <row r="29" spans="1:9" hidden="1" x14ac:dyDescent="0.2">
      <c r="A29" s="13">
        <v>27</v>
      </c>
      <c r="B29" s="7"/>
      <c r="C29" s="6"/>
      <c r="D29" s="7"/>
      <c r="E29" s="7"/>
      <c r="F29" s="7"/>
      <c r="G29" s="7"/>
      <c r="H29" s="9"/>
      <c r="I29" s="9"/>
    </row>
    <row r="30" spans="1:9" hidden="1" x14ac:dyDescent="0.2">
      <c r="A30" s="13">
        <v>28</v>
      </c>
      <c r="B30" s="7"/>
      <c r="C30" s="6"/>
      <c r="D30" s="7"/>
      <c r="E30" s="7"/>
      <c r="F30" s="7"/>
      <c r="G30" s="7"/>
      <c r="H30" s="9"/>
      <c r="I30" s="9"/>
    </row>
    <row r="31" spans="1:9" hidden="1" x14ac:dyDescent="0.2">
      <c r="A31" s="13">
        <v>29</v>
      </c>
      <c r="B31" s="7"/>
      <c r="C31" s="6"/>
      <c r="D31" s="7"/>
      <c r="E31" s="7"/>
      <c r="F31" s="7"/>
      <c r="G31" s="7"/>
      <c r="H31" s="9"/>
      <c r="I31" s="9"/>
    </row>
    <row r="32" spans="1:9" hidden="1" x14ac:dyDescent="0.2">
      <c r="A32" s="13">
        <v>30</v>
      </c>
      <c r="B32" s="7"/>
      <c r="C32" s="6"/>
      <c r="D32" s="7"/>
      <c r="E32" s="7"/>
      <c r="F32" s="7"/>
      <c r="G32" s="7"/>
      <c r="H32" s="9"/>
      <c r="I32" s="9"/>
    </row>
    <row r="33" spans="1:9" hidden="1" x14ac:dyDescent="0.2">
      <c r="A33" s="13">
        <v>31</v>
      </c>
      <c r="B33" s="7"/>
      <c r="C33" s="6"/>
      <c r="D33" s="7"/>
      <c r="E33" s="7"/>
      <c r="F33" s="7"/>
      <c r="G33" s="7"/>
      <c r="H33" s="9"/>
      <c r="I33" s="9"/>
    </row>
    <row r="34" spans="1:9" hidden="1" x14ac:dyDescent="0.2">
      <c r="A34" s="13">
        <v>32</v>
      </c>
      <c r="B34" s="7"/>
      <c r="C34" s="6"/>
      <c r="D34" s="7"/>
      <c r="E34" s="7"/>
      <c r="F34" s="7"/>
      <c r="G34" s="7"/>
      <c r="H34" s="9"/>
      <c r="I34" s="9"/>
    </row>
    <row r="35" spans="1:9" hidden="1" x14ac:dyDescent="0.2">
      <c r="A35" s="13">
        <v>33</v>
      </c>
      <c r="B35" s="7"/>
      <c r="C35" s="6"/>
      <c r="D35" s="7"/>
      <c r="E35" s="7"/>
      <c r="F35" s="7"/>
      <c r="G35" s="7"/>
      <c r="H35" s="9"/>
      <c r="I35" s="9"/>
    </row>
    <row r="36" spans="1:9" hidden="1" x14ac:dyDescent="0.2">
      <c r="A36" s="13">
        <v>34</v>
      </c>
      <c r="B36" s="7"/>
      <c r="C36" s="6"/>
      <c r="D36" s="7"/>
      <c r="E36" s="7"/>
      <c r="F36" s="7"/>
      <c r="G36" s="7"/>
      <c r="H36" s="9"/>
      <c r="I36" s="9"/>
    </row>
    <row r="37" spans="1:9" hidden="1" x14ac:dyDescent="0.2">
      <c r="A37" s="13">
        <v>35</v>
      </c>
      <c r="B37" s="7"/>
      <c r="C37" s="6"/>
      <c r="D37" s="7"/>
      <c r="E37" s="7"/>
      <c r="F37" s="7"/>
      <c r="G37" s="7"/>
      <c r="H37" s="9"/>
      <c r="I37" s="9"/>
    </row>
    <row r="38" spans="1:9" hidden="1" x14ac:dyDescent="0.2">
      <c r="A38" s="13">
        <v>36</v>
      </c>
      <c r="B38" s="7"/>
      <c r="C38" s="6"/>
      <c r="D38" s="7"/>
      <c r="E38" s="7"/>
      <c r="F38" s="7"/>
      <c r="G38" s="7"/>
      <c r="H38" s="9"/>
      <c r="I38" s="9"/>
    </row>
    <row r="39" spans="1:9" hidden="1" x14ac:dyDescent="0.2">
      <c r="A39" s="13">
        <v>37</v>
      </c>
      <c r="B39" s="7"/>
      <c r="C39" s="6"/>
      <c r="D39" s="7"/>
      <c r="E39" s="7"/>
      <c r="F39" s="7"/>
      <c r="G39" s="7"/>
      <c r="H39" s="9"/>
      <c r="I39" s="9"/>
    </row>
    <row r="40" spans="1:9" hidden="1" x14ac:dyDescent="0.2">
      <c r="A40" s="13">
        <v>38</v>
      </c>
      <c r="B40" s="7"/>
      <c r="C40" s="6"/>
      <c r="D40" s="7"/>
      <c r="E40" s="7"/>
      <c r="F40" s="7"/>
      <c r="G40" s="7"/>
      <c r="H40" s="9"/>
      <c r="I40" s="9"/>
    </row>
    <row r="41" spans="1:9" hidden="1" x14ac:dyDescent="0.2">
      <c r="A41" s="13">
        <v>39</v>
      </c>
      <c r="B41" s="7"/>
      <c r="C41" s="6"/>
      <c r="D41" s="7"/>
      <c r="E41" s="7"/>
      <c r="F41" s="7"/>
      <c r="G41" s="7"/>
      <c r="H41" s="9"/>
      <c r="I41" s="9"/>
    </row>
    <row r="42" spans="1:9" hidden="1" x14ac:dyDescent="0.2">
      <c r="A42" s="13">
        <v>40</v>
      </c>
      <c r="B42" s="7"/>
      <c r="C42" s="6"/>
      <c r="D42" s="7"/>
      <c r="E42" s="7"/>
      <c r="F42" s="7"/>
      <c r="G42" s="7"/>
      <c r="H42" s="9"/>
      <c r="I42" s="9"/>
    </row>
    <row r="43" spans="1:9" hidden="1" x14ac:dyDescent="0.2">
      <c r="A43" s="13">
        <v>41</v>
      </c>
      <c r="B43" s="7"/>
      <c r="C43" s="6"/>
      <c r="D43" s="7"/>
      <c r="E43" s="7"/>
      <c r="F43" s="7"/>
      <c r="G43" s="7"/>
      <c r="H43" s="9"/>
      <c r="I43" s="9"/>
    </row>
    <row r="44" spans="1:9" hidden="1" x14ac:dyDescent="0.2">
      <c r="A44" s="13">
        <v>42</v>
      </c>
      <c r="B44" s="7"/>
      <c r="C44" s="6"/>
      <c r="D44" s="7"/>
      <c r="E44" s="7"/>
      <c r="F44" s="7"/>
      <c r="G44" s="7"/>
      <c r="H44" s="9"/>
      <c r="I44" s="9"/>
    </row>
    <row r="45" spans="1:9" hidden="1" x14ac:dyDescent="0.2">
      <c r="A45" s="13">
        <v>43</v>
      </c>
      <c r="B45" s="7"/>
      <c r="C45" s="6"/>
      <c r="D45" s="7"/>
      <c r="E45" s="7"/>
      <c r="F45" s="7"/>
      <c r="G45" s="7"/>
      <c r="H45" s="9"/>
      <c r="I45" s="9"/>
    </row>
    <row r="46" spans="1:9" hidden="1" x14ac:dyDescent="0.2">
      <c r="A46" s="13">
        <v>44</v>
      </c>
      <c r="B46" s="7"/>
      <c r="C46" s="6"/>
      <c r="D46" s="7"/>
      <c r="E46" s="7"/>
      <c r="F46" s="7"/>
      <c r="G46" s="7"/>
      <c r="H46" s="9"/>
      <c r="I46" s="9"/>
    </row>
    <row r="47" spans="1:9" hidden="1" x14ac:dyDescent="0.2">
      <c r="A47" s="13">
        <v>45</v>
      </c>
      <c r="B47" s="7"/>
      <c r="C47" s="6"/>
      <c r="D47" s="7"/>
      <c r="E47" s="7"/>
      <c r="F47" s="7"/>
      <c r="G47" s="7"/>
      <c r="H47" s="9"/>
      <c r="I47" s="9"/>
    </row>
    <row r="48" spans="1:9" hidden="1" x14ac:dyDescent="0.2">
      <c r="A48" s="13">
        <v>46</v>
      </c>
      <c r="B48" s="7"/>
      <c r="C48" s="6"/>
      <c r="D48" s="7"/>
      <c r="E48" s="7"/>
      <c r="F48" s="7"/>
      <c r="G48" s="7"/>
      <c r="H48" s="9"/>
      <c r="I48" s="9"/>
    </row>
    <row r="49" spans="1:9" hidden="1" x14ac:dyDescent="0.2">
      <c r="A49" s="13">
        <v>47</v>
      </c>
      <c r="B49" s="7"/>
      <c r="C49" s="6"/>
      <c r="D49" s="7"/>
      <c r="E49" s="7"/>
      <c r="F49" s="7"/>
      <c r="G49" s="7"/>
      <c r="H49" s="9"/>
      <c r="I49" s="9"/>
    </row>
    <row r="50" spans="1:9" hidden="1" x14ac:dyDescent="0.2">
      <c r="A50" s="13">
        <v>48</v>
      </c>
      <c r="B50" s="7"/>
      <c r="C50" s="6"/>
      <c r="D50" s="7"/>
      <c r="E50" s="7"/>
      <c r="F50" s="7"/>
      <c r="G50" s="7"/>
      <c r="H50" s="9"/>
      <c r="I50" s="9"/>
    </row>
    <row r="51" spans="1:9" hidden="1" x14ac:dyDescent="0.2">
      <c r="A51" s="13">
        <v>49</v>
      </c>
      <c r="B51" s="7"/>
      <c r="C51" s="6"/>
      <c r="D51" s="7"/>
      <c r="E51" s="7"/>
      <c r="F51" s="7"/>
      <c r="G51" s="7"/>
      <c r="H51" s="9"/>
      <c r="I51" s="9"/>
    </row>
    <row r="52" spans="1:9" hidden="1" x14ac:dyDescent="0.2">
      <c r="A52" s="13">
        <v>50</v>
      </c>
      <c r="B52" s="7"/>
      <c r="C52" s="6"/>
      <c r="D52" s="7"/>
      <c r="E52" s="7"/>
      <c r="F52" s="7"/>
      <c r="G52" s="7"/>
      <c r="H52" s="9"/>
      <c r="I52" s="9"/>
    </row>
    <row r="53" spans="1:9" hidden="1" x14ac:dyDescent="0.2">
      <c r="A53" s="13">
        <v>51</v>
      </c>
      <c r="B53" s="7"/>
      <c r="C53" s="6"/>
      <c r="D53" s="7"/>
      <c r="E53" s="7"/>
      <c r="F53" s="7"/>
      <c r="G53" s="7"/>
      <c r="H53" s="9"/>
      <c r="I53" s="9"/>
    </row>
    <row r="54" spans="1:9" hidden="1" x14ac:dyDescent="0.2">
      <c r="A54" s="13">
        <v>52</v>
      </c>
      <c r="B54" s="7"/>
      <c r="C54" s="6"/>
      <c r="D54" s="15"/>
      <c r="E54" s="15"/>
      <c r="F54" s="7"/>
      <c r="G54" s="7"/>
      <c r="H54" s="10"/>
      <c r="I54" s="9"/>
    </row>
    <row r="55" spans="1:9" hidden="1" x14ac:dyDescent="0.2">
      <c r="A55" s="13">
        <v>53</v>
      </c>
      <c r="B55" s="7"/>
      <c r="C55" s="6"/>
      <c r="D55" s="15"/>
      <c r="E55" s="15"/>
      <c r="F55" s="7"/>
      <c r="G55" s="7"/>
      <c r="H55" s="10"/>
      <c r="I55" s="9"/>
    </row>
    <row r="56" spans="1:9" hidden="1" x14ac:dyDescent="0.2">
      <c r="A56" s="13">
        <v>54</v>
      </c>
      <c r="B56" s="7"/>
      <c r="C56" s="6"/>
      <c r="D56" s="15"/>
      <c r="E56" s="15"/>
      <c r="F56" s="7"/>
      <c r="G56" s="7"/>
      <c r="H56" s="9"/>
      <c r="I56" s="9"/>
    </row>
    <row r="57" spans="1:9" hidden="1" x14ac:dyDescent="0.2">
      <c r="A57" s="17">
        <v>55</v>
      </c>
      <c r="B57" s="18"/>
      <c r="C57" s="19"/>
      <c r="D57" s="15"/>
      <c r="E57" s="15"/>
      <c r="F57" s="18"/>
      <c r="G57" s="18"/>
      <c r="H57" s="10"/>
      <c r="I57" s="20"/>
    </row>
    <row r="58" spans="1:9" hidden="1" x14ac:dyDescent="0.2">
      <c r="A58" s="13">
        <v>56</v>
      </c>
      <c r="B58" s="7"/>
      <c r="C58" s="7"/>
      <c r="D58" s="7"/>
      <c r="E58" s="7"/>
      <c r="F58" s="7"/>
      <c r="G58" s="7"/>
      <c r="H58" s="9"/>
      <c r="I58" s="9"/>
    </row>
    <row r="59" spans="1:9" hidden="1" x14ac:dyDescent="0.2">
      <c r="A59" s="13">
        <v>57</v>
      </c>
      <c r="B59" s="7"/>
      <c r="C59" s="7"/>
      <c r="D59" s="7"/>
      <c r="E59" s="7"/>
      <c r="F59" s="7"/>
      <c r="G59" s="7"/>
      <c r="H59" s="9"/>
      <c r="I59" s="9"/>
    </row>
    <row r="60" spans="1:9" hidden="1" x14ac:dyDescent="0.2">
      <c r="A60" s="13">
        <v>58</v>
      </c>
      <c r="B60" s="7"/>
      <c r="C60" s="7"/>
      <c r="D60" s="7"/>
      <c r="E60" s="7"/>
      <c r="F60" s="7"/>
      <c r="G60" s="7"/>
      <c r="H60" s="9"/>
      <c r="I60" s="9"/>
    </row>
    <row r="61" spans="1:9" hidden="1" x14ac:dyDescent="0.2">
      <c r="A61" s="13">
        <v>59</v>
      </c>
      <c r="B61" s="7"/>
      <c r="C61" s="7"/>
      <c r="D61" s="7"/>
      <c r="E61" s="7"/>
      <c r="F61" s="7"/>
      <c r="G61" s="7"/>
      <c r="H61" s="9"/>
      <c r="I61" s="9"/>
    </row>
    <row r="62" spans="1:9" hidden="1" x14ac:dyDescent="0.2">
      <c r="A62" s="13">
        <v>60</v>
      </c>
      <c r="B62" s="7"/>
      <c r="C62" s="7"/>
      <c r="D62" s="7"/>
      <c r="E62" s="7"/>
      <c r="F62" s="7"/>
      <c r="G62" s="7"/>
      <c r="H62" s="9"/>
      <c r="I62" s="9"/>
    </row>
    <row r="63" spans="1:9" hidden="1" x14ac:dyDescent="0.2">
      <c r="A63" s="13">
        <v>61</v>
      </c>
      <c r="B63" s="7"/>
      <c r="C63" s="7"/>
      <c r="D63" s="7"/>
      <c r="E63" s="7"/>
      <c r="F63" s="7"/>
      <c r="G63" s="7"/>
      <c r="H63" s="9"/>
      <c r="I63" s="9"/>
    </row>
    <row r="64" spans="1:9" hidden="1" x14ac:dyDescent="0.2">
      <c r="A64" s="13">
        <v>67</v>
      </c>
      <c r="B64" s="7"/>
      <c r="C64" s="7"/>
      <c r="D64" s="7"/>
      <c r="E64" s="7"/>
      <c r="F64" s="7"/>
      <c r="G64" s="7"/>
      <c r="H64" s="9"/>
      <c r="I64" s="9"/>
    </row>
    <row r="65" spans="1:9" hidden="1" x14ac:dyDescent="0.2">
      <c r="A65" s="13">
        <v>68</v>
      </c>
      <c r="B65" s="7"/>
      <c r="C65" s="7"/>
      <c r="D65" s="7"/>
      <c r="E65" s="7"/>
      <c r="F65" s="7"/>
      <c r="G65" s="7"/>
      <c r="H65" s="9"/>
      <c r="I65" s="9"/>
    </row>
    <row r="66" spans="1:9" hidden="1" x14ac:dyDescent="0.2">
      <c r="A66" s="13">
        <v>69</v>
      </c>
      <c r="B66" s="7"/>
      <c r="C66" s="7"/>
      <c r="D66" s="7"/>
      <c r="E66" s="7"/>
      <c r="F66" s="7"/>
      <c r="G66" s="7"/>
      <c r="H66" s="9"/>
      <c r="I66" s="9"/>
    </row>
    <row r="67" spans="1:9" hidden="1" x14ac:dyDescent="0.2">
      <c r="A67" s="13">
        <v>70</v>
      </c>
      <c r="B67" s="7"/>
      <c r="C67" s="7"/>
      <c r="D67" s="7"/>
      <c r="E67" s="7"/>
      <c r="F67" s="7"/>
      <c r="G67" s="7"/>
      <c r="H67" s="9"/>
      <c r="I67" s="9"/>
    </row>
    <row r="68" spans="1:9" hidden="1" x14ac:dyDescent="0.2">
      <c r="A68" s="13">
        <v>71</v>
      </c>
      <c r="B68" s="7"/>
      <c r="C68" s="7"/>
      <c r="D68" s="7"/>
      <c r="E68" s="7"/>
      <c r="F68" s="7"/>
      <c r="G68" s="7"/>
      <c r="H68" s="9"/>
      <c r="I68" s="9"/>
    </row>
    <row r="69" spans="1:9" hidden="1" x14ac:dyDescent="0.2">
      <c r="A69" s="13">
        <v>72</v>
      </c>
      <c r="B69" s="7"/>
      <c r="C69" s="7"/>
      <c r="D69" s="7"/>
      <c r="E69" s="7"/>
      <c r="F69" s="7"/>
      <c r="G69" s="7"/>
      <c r="H69" s="9"/>
      <c r="I69" s="9"/>
    </row>
    <row r="70" spans="1:9" hidden="1" x14ac:dyDescent="0.2">
      <c r="A70" s="13">
        <v>73</v>
      </c>
      <c r="B70" s="7"/>
      <c r="C70" s="7"/>
      <c r="D70" s="7"/>
      <c r="E70" s="7"/>
      <c r="F70" s="7"/>
      <c r="G70" s="7"/>
      <c r="H70" s="9"/>
      <c r="I70" s="9"/>
    </row>
    <row r="71" spans="1:9" hidden="1" x14ac:dyDescent="0.2">
      <c r="A71" s="13">
        <v>74</v>
      </c>
      <c r="B71" s="7"/>
      <c r="C71" s="7"/>
      <c r="D71" s="7"/>
      <c r="E71" s="7"/>
      <c r="F71" s="7"/>
      <c r="G71" s="7"/>
      <c r="H71" s="9"/>
      <c r="I71" s="9"/>
    </row>
    <row r="72" spans="1:9" hidden="1" x14ac:dyDescent="0.2">
      <c r="A72" s="13">
        <v>75</v>
      </c>
      <c r="B72" s="7"/>
      <c r="C72" s="7"/>
      <c r="D72" s="7"/>
      <c r="E72" s="7"/>
      <c r="F72" s="7"/>
      <c r="G72" s="7"/>
      <c r="H72" s="9"/>
      <c r="I72" s="9"/>
    </row>
    <row r="73" spans="1:9" hidden="1" x14ac:dyDescent="0.2">
      <c r="A73" s="13">
        <v>76</v>
      </c>
      <c r="B73" s="7"/>
      <c r="C73" s="7"/>
      <c r="D73" s="7"/>
      <c r="E73" s="7"/>
      <c r="F73" s="7"/>
      <c r="G73" s="7"/>
      <c r="H73" s="9"/>
      <c r="I73" s="9"/>
    </row>
    <row r="74" spans="1:9" hidden="1" x14ac:dyDescent="0.2">
      <c r="A74" s="13">
        <v>77</v>
      </c>
      <c r="B74" s="7"/>
      <c r="C74" s="7"/>
      <c r="D74" s="7"/>
      <c r="E74" s="7"/>
      <c r="F74" s="7"/>
      <c r="G74" s="7"/>
      <c r="H74" s="9"/>
      <c r="I74" s="9"/>
    </row>
    <row r="75" spans="1:9" hidden="1" x14ac:dyDescent="0.2">
      <c r="A75" s="13">
        <v>78</v>
      </c>
      <c r="B75" s="7"/>
      <c r="C75" s="7"/>
      <c r="D75" s="7"/>
      <c r="E75" s="7"/>
      <c r="F75" s="7"/>
      <c r="G75" s="7"/>
      <c r="H75" s="9"/>
      <c r="I75" s="9"/>
    </row>
    <row r="76" spans="1:9" hidden="1" x14ac:dyDescent="0.2">
      <c r="A76" s="13">
        <v>79</v>
      </c>
      <c r="B76" s="7"/>
      <c r="C76" s="7"/>
      <c r="D76" s="7"/>
      <c r="E76" s="7"/>
      <c r="F76" s="7"/>
      <c r="G76" s="7"/>
      <c r="H76" s="9"/>
      <c r="I76" s="9"/>
    </row>
    <row r="77" spans="1:9" hidden="1" x14ac:dyDescent="0.2">
      <c r="A77" s="13">
        <v>80</v>
      </c>
      <c r="B77" s="7"/>
      <c r="C77" s="7"/>
      <c r="D77" s="7"/>
      <c r="E77" s="7"/>
      <c r="F77" s="7"/>
      <c r="G77" s="7"/>
      <c r="H77" s="9"/>
      <c r="I77" s="9"/>
    </row>
    <row r="78" spans="1:9" hidden="1" x14ac:dyDescent="0.2">
      <c r="A78" s="13">
        <v>81</v>
      </c>
      <c r="B78" s="7"/>
      <c r="C78" s="7"/>
      <c r="D78" s="7"/>
      <c r="E78" s="7"/>
      <c r="F78" s="7"/>
      <c r="G78" s="7"/>
      <c r="H78" s="9"/>
      <c r="I78" s="9"/>
    </row>
    <row r="79" spans="1:9" hidden="1" x14ac:dyDescent="0.2">
      <c r="A79" s="13">
        <v>82</v>
      </c>
      <c r="B79" s="7"/>
      <c r="C79" s="7"/>
      <c r="D79" s="7"/>
      <c r="E79" s="7"/>
      <c r="F79" s="7"/>
      <c r="G79" s="7"/>
      <c r="H79" s="9"/>
      <c r="I79" s="9"/>
    </row>
    <row r="80" spans="1:9" hidden="1" x14ac:dyDescent="0.2">
      <c r="A80" s="13">
        <v>83</v>
      </c>
      <c r="B80" s="7"/>
      <c r="C80" s="7"/>
      <c r="D80" s="7"/>
      <c r="E80" s="7"/>
      <c r="F80" s="7"/>
      <c r="G80" s="7"/>
      <c r="H80" s="9"/>
      <c r="I80" s="9"/>
    </row>
    <row r="81" spans="1:9" hidden="1" x14ac:dyDescent="0.2">
      <c r="A81" s="13">
        <v>84</v>
      </c>
      <c r="B81" s="7"/>
      <c r="C81" s="7"/>
      <c r="D81" s="7"/>
      <c r="E81" s="7"/>
      <c r="F81" s="7"/>
      <c r="G81" s="7"/>
      <c r="H81" s="9"/>
      <c r="I81" s="9"/>
    </row>
    <row r="82" spans="1:9" hidden="1" x14ac:dyDescent="0.2">
      <c r="A82" s="13">
        <v>85</v>
      </c>
      <c r="B82" s="7"/>
      <c r="C82" s="7"/>
      <c r="D82" s="7"/>
      <c r="E82" s="7"/>
      <c r="F82" s="7"/>
      <c r="G82" s="7"/>
      <c r="H82" s="9"/>
      <c r="I82" s="9"/>
    </row>
    <row r="83" spans="1:9" hidden="1" x14ac:dyDescent="0.2">
      <c r="A83" s="13">
        <v>86</v>
      </c>
      <c r="B83" s="7"/>
      <c r="C83" s="7"/>
      <c r="D83" s="7"/>
      <c r="E83" s="7"/>
      <c r="F83" s="7"/>
      <c r="G83" s="7"/>
      <c r="H83" s="9"/>
      <c r="I83" s="9"/>
    </row>
    <row r="84" spans="1:9" hidden="1" x14ac:dyDescent="0.2">
      <c r="A84" s="13">
        <v>87</v>
      </c>
      <c r="B84" s="7"/>
      <c r="C84" s="7"/>
      <c r="D84" s="7"/>
      <c r="E84" s="7"/>
      <c r="F84" s="7"/>
      <c r="G84" s="7"/>
      <c r="H84" s="9"/>
      <c r="I84" s="9"/>
    </row>
    <row r="85" spans="1:9" hidden="1" x14ac:dyDescent="0.2">
      <c r="A85" s="13">
        <v>88</v>
      </c>
      <c r="B85" s="7"/>
      <c r="C85" s="7"/>
      <c r="D85" s="7"/>
      <c r="E85" s="7"/>
      <c r="F85" s="7"/>
      <c r="G85" s="7"/>
      <c r="H85" s="9"/>
      <c r="I85" s="9"/>
    </row>
    <row r="86" spans="1:9" hidden="1" x14ac:dyDescent="0.2">
      <c r="A86" s="13">
        <v>89</v>
      </c>
      <c r="B86" s="7"/>
      <c r="C86" s="7"/>
      <c r="D86" s="7"/>
      <c r="E86" s="7"/>
      <c r="F86" s="7"/>
      <c r="G86" s="7"/>
      <c r="H86" s="9"/>
      <c r="I86" s="9"/>
    </row>
    <row r="87" spans="1:9" hidden="1" x14ac:dyDescent="0.2">
      <c r="A87" s="13">
        <v>90</v>
      </c>
      <c r="B87" s="7"/>
      <c r="C87" s="7"/>
      <c r="D87" s="7"/>
      <c r="E87" s="7"/>
      <c r="F87" s="7"/>
      <c r="G87" s="7"/>
      <c r="H87" s="9"/>
      <c r="I87" s="9"/>
    </row>
    <row r="88" spans="1:9" hidden="1" x14ac:dyDescent="0.2">
      <c r="A88" s="13">
        <v>91</v>
      </c>
      <c r="B88" s="7"/>
      <c r="C88" s="7"/>
      <c r="D88" s="7"/>
      <c r="E88" s="7"/>
      <c r="F88" s="7"/>
      <c r="G88" s="7"/>
      <c r="H88" s="9"/>
      <c r="I88" s="9"/>
    </row>
    <row r="89" spans="1:9" hidden="1" x14ac:dyDescent="0.2">
      <c r="A89" s="13">
        <v>92</v>
      </c>
      <c r="B89" s="7"/>
      <c r="C89" s="7"/>
      <c r="D89" s="7"/>
      <c r="E89" s="7"/>
      <c r="F89" s="7"/>
      <c r="G89" s="7"/>
      <c r="H89" s="9"/>
      <c r="I89" s="9"/>
    </row>
    <row r="90" spans="1:9" hidden="1" x14ac:dyDescent="0.2">
      <c r="A90" s="13">
        <v>93</v>
      </c>
      <c r="B90" s="7"/>
      <c r="C90" s="7"/>
      <c r="D90" s="7"/>
      <c r="E90" s="7"/>
      <c r="F90" s="7"/>
      <c r="G90" s="7"/>
      <c r="H90" s="9"/>
      <c r="I90" s="9"/>
    </row>
    <row r="91" spans="1:9" hidden="1" x14ac:dyDescent="0.2">
      <c r="A91" s="13"/>
      <c r="B91" s="7"/>
      <c r="C91" s="7"/>
      <c r="D91" s="7"/>
      <c r="E91" s="7"/>
      <c r="F91" s="7"/>
      <c r="G91" s="7"/>
      <c r="H91" s="9"/>
      <c r="I91" s="9"/>
    </row>
    <row r="92" spans="1:9" hidden="1" x14ac:dyDescent="0.2">
      <c r="A92" s="13"/>
      <c r="B92" s="7"/>
      <c r="C92" s="7"/>
      <c r="D92" s="7"/>
      <c r="E92" s="7"/>
      <c r="F92" s="7"/>
      <c r="G92" s="7"/>
      <c r="H92" s="9"/>
      <c r="I92" s="9"/>
    </row>
    <row r="93" spans="1:9" hidden="1" x14ac:dyDescent="0.2">
      <c r="A93" s="13"/>
      <c r="B93" s="7"/>
      <c r="C93" s="7"/>
      <c r="D93" s="7"/>
      <c r="E93" s="7"/>
      <c r="F93" s="7"/>
      <c r="G93" s="7"/>
      <c r="H93" s="9"/>
      <c r="I93" s="9"/>
    </row>
    <row r="94" spans="1:9" hidden="1" x14ac:dyDescent="0.2">
      <c r="A94" s="13"/>
      <c r="B94" s="7"/>
      <c r="C94" s="7"/>
      <c r="D94" s="7"/>
      <c r="E94" s="7"/>
      <c r="F94" s="7"/>
      <c r="G94" s="7"/>
      <c r="H94" s="9"/>
      <c r="I94" s="9"/>
    </row>
    <row r="95" spans="1:9" hidden="1" x14ac:dyDescent="0.2">
      <c r="B95" s="15"/>
      <c r="C95" s="15"/>
      <c r="D95" s="15"/>
      <c r="E95" s="15"/>
      <c r="F95" s="15"/>
      <c r="G95" s="15"/>
      <c r="H95" s="10"/>
      <c r="I95" s="10"/>
    </row>
    <row r="96" spans="1:9" hidden="1" x14ac:dyDescent="0.2">
      <c r="B96" s="15"/>
      <c r="C96" s="15"/>
      <c r="D96" s="15"/>
      <c r="E96" s="15"/>
      <c r="F96" s="15"/>
      <c r="G96" s="15"/>
      <c r="H96" s="10"/>
      <c r="I96" s="10"/>
    </row>
    <row r="97" spans="2:9" hidden="1" x14ac:dyDescent="0.2">
      <c r="B97" s="15"/>
      <c r="C97" s="15"/>
      <c r="D97" s="15"/>
      <c r="E97" s="15"/>
      <c r="F97" s="15"/>
      <c r="G97" s="15"/>
      <c r="H97" s="10"/>
      <c r="I97" s="10"/>
    </row>
    <row r="98" spans="2:9" hidden="1" x14ac:dyDescent="0.2">
      <c r="B98" s="15"/>
      <c r="C98" s="15"/>
      <c r="D98" s="15"/>
      <c r="E98" s="15"/>
      <c r="F98" s="15"/>
      <c r="G98" s="15"/>
      <c r="H98" s="10"/>
      <c r="I98" s="10"/>
    </row>
    <row r="99" spans="2:9" hidden="1" x14ac:dyDescent="0.2">
      <c r="B99" s="15"/>
      <c r="C99" s="15"/>
      <c r="D99" s="15"/>
      <c r="E99" s="15"/>
      <c r="F99" s="15"/>
      <c r="G99" s="15"/>
      <c r="H99" s="10"/>
      <c r="I99" s="10"/>
    </row>
    <row r="100" spans="2:9" hidden="1" x14ac:dyDescent="0.2">
      <c r="B100" s="15"/>
      <c r="C100" s="15"/>
      <c r="D100" s="15"/>
      <c r="E100" s="15"/>
      <c r="F100" s="15"/>
      <c r="G100" s="15"/>
      <c r="H100" s="10"/>
      <c r="I100" s="10"/>
    </row>
    <row r="101" spans="2:9" hidden="1" x14ac:dyDescent="0.2">
      <c r="B101" s="15"/>
      <c r="C101" s="15"/>
      <c r="D101" s="15"/>
      <c r="E101" s="15"/>
      <c r="F101" s="15"/>
      <c r="G101" s="15"/>
      <c r="H101" s="10"/>
      <c r="I101" s="10"/>
    </row>
    <row r="102" spans="2:9" hidden="1" x14ac:dyDescent="0.2">
      <c r="B102" s="15"/>
      <c r="C102" s="15"/>
      <c r="D102" s="15"/>
      <c r="E102" s="15"/>
      <c r="F102" s="15"/>
      <c r="G102" s="15"/>
      <c r="H102" s="10"/>
      <c r="I102" s="10"/>
    </row>
    <row r="103" spans="2:9" hidden="1" x14ac:dyDescent="0.2">
      <c r="B103" s="15"/>
      <c r="C103" s="15"/>
      <c r="D103" s="15"/>
      <c r="E103" s="15"/>
      <c r="F103" s="15"/>
      <c r="G103" s="15"/>
      <c r="H103" s="10"/>
      <c r="I103" s="10"/>
    </row>
    <row r="104" spans="2:9" hidden="1" x14ac:dyDescent="0.2">
      <c r="B104" s="15"/>
      <c r="C104" s="15"/>
      <c r="D104" s="15"/>
      <c r="E104" s="15"/>
      <c r="F104" s="15"/>
      <c r="G104" s="15"/>
      <c r="H104" s="10"/>
      <c r="I104" s="10"/>
    </row>
    <row r="105" spans="2:9" hidden="1" x14ac:dyDescent="0.2">
      <c r="B105" s="15"/>
      <c r="C105" s="15"/>
      <c r="D105" s="15"/>
      <c r="E105" s="15"/>
      <c r="F105" s="15"/>
      <c r="G105" s="15"/>
      <c r="H105" s="10"/>
      <c r="I105" s="10"/>
    </row>
    <row r="106" spans="2:9" hidden="1" x14ac:dyDescent="0.2">
      <c r="B106" s="15"/>
      <c r="C106" s="15"/>
      <c r="D106" s="15"/>
      <c r="E106" s="15"/>
      <c r="F106" s="15"/>
      <c r="G106" s="15"/>
      <c r="H106" s="9"/>
      <c r="I106" s="9"/>
    </row>
    <row r="107" spans="2:9" hidden="1" x14ac:dyDescent="0.2">
      <c r="B107" s="15"/>
      <c r="C107" s="15"/>
      <c r="D107" s="15"/>
      <c r="E107" s="15"/>
      <c r="F107" s="15"/>
      <c r="G107" s="15"/>
      <c r="H107" s="9"/>
      <c r="I107" s="9"/>
    </row>
    <row r="108" spans="2:9" hidden="1" x14ac:dyDescent="0.2">
      <c r="B108" s="15"/>
      <c r="C108" s="15"/>
      <c r="D108" s="15"/>
      <c r="E108" s="15"/>
      <c r="F108" s="15"/>
      <c r="G108" s="15"/>
      <c r="H108" s="9"/>
      <c r="I108" s="9"/>
    </row>
    <row r="109" spans="2:9" hidden="1" x14ac:dyDescent="0.2">
      <c r="B109" s="15"/>
      <c r="C109" s="15"/>
      <c r="D109" s="15"/>
      <c r="E109" s="15"/>
      <c r="F109" s="15"/>
      <c r="G109" s="15"/>
      <c r="H109" s="10"/>
      <c r="I109" s="10"/>
    </row>
    <row r="110" spans="2:9" hidden="1" x14ac:dyDescent="0.2">
      <c r="B110" s="15"/>
      <c r="C110" s="15"/>
      <c r="D110" s="15"/>
      <c r="E110" s="15"/>
      <c r="F110" s="15"/>
      <c r="G110" s="15"/>
      <c r="H110" s="10"/>
      <c r="I110" s="10"/>
    </row>
    <row r="111" spans="2:9" hidden="1" x14ac:dyDescent="0.2">
      <c r="B111" s="15"/>
      <c r="C111" s="15"/>
      <c r="D111" s="15"/>
      <c r="E111" s="15"/>
      <c r="F111" s="15"/>
      <c r="G111" s="15"/>
      <c r="H111" s="10"/>
      <c r="I111" s="10"/>
    </row>
    <row r="112" spans="2:9" hidden="1" x14ac:dyDescent="0.2">
      <c r="B112" s="15"/>
      <c r="C112" s="15"/>
      <c r="D112" s="15"/>
      <c r="E112" s="15"/>
      <c r="F112" s="15"/>
      <c r="G112" s="15"/>
      <c r="H112" s="10"/>
      <c r="I112" s="10"/>
    </row>
    <row r="113" spans="2:9" hidden="1" x14ac:dyDescent="0.2">
      <c r="B113" s="15"/>
      <c r="C113" s="15"/>
      <c r="D113" s="15"/>
      <c r="E113" s="15"/>
      <c r="F113" s="15"/>
      <c r="G113" s="15"/>
      <c r="H113" s="10"/>
      <c r="I113" s="10"/>
    </row>
    <row r="114" spans="2:9" hidden="1" x14ac:dyDescent="0.2">
      <c r="B114" s="15"/>
      <c r="C114" s="15"/>
      <c r="D114" s="15"/>
      <c r="E114" s="15"/>
      <c r="F114" s="15"/>
      <c r="G114" s="15"/>
      <c r="H114" s="10"/>
      <c r="I114" s="10"/>
    </row>
    <row r="115" spans="2:9" hidden="1" x14ac:dyDescent="0.2">
      <c r="B115" s="15"/>
      <c r="C115" s="15"/>
      <c r="D115" s="15"/>
      <c r="E115" s="15"/>
      <c r="F115" s="15"/>
      <c r="G115" s="15"/>
      <c r="H115" s="10"/>
      <c r="I115" s="10"/>
    </row>
    <row r="116" spans="2:9" hidden="1" x14ac:dyDescent="0.2">
      <c r="B116" s="15"/>
      <c r="C116" s="15"/>
      <c r="D116" s="15"/>
      <c r="E116" s="15"/>
      <c r="F116" s="15"/>
      <c r="G116" s="15"/>
      <c r="H116" s="10"/>
      <c r="I116" s="10"/>
    </row>
    <row r="117" spans="2:9" hidden="1" x14ac:dyDescent="0.2">
      <c r="B117" s="15"/>
      <c r="C117" s="15"/>
      <c r="D117" s="15"/>
      <c r="E117" s="15"/>
      <c r="F117" s="15"/>
      <c r="G117" s="15"/>
      <c r="H117" s="10"/>
      <c r="I117" s="9"/>
    </row>
    <row r="118" spans="2:9" hidden="1" x14ac:dyDescent="0.2">
      <c r="B118" s="15"/>
      <c r="C118" s="15"/>
      <c r="D118" s="15"/>
      <c r="E118" s="15"/>
      <c r="F118" s="15"/>
      <c r="G118" s="15"/>
      <c r="H118" s="10"/>
      <c r="I118" s="9"/>
    </row>
    <row r="119" spans="2:9" hidden="1" x14ac:dyDescent="0.2">
      <c r="B119" s="15"/>
      <c r="C119" s="15"/>
      <c r="D119" s="15"/>
      <c r="E119" s="15"/>
      <c r="F119" s="15"/>
      <c r="G119" s="15"/>
      <c r="H119" s="10"/>
      <c r="I119" s="9"/>
    </row>
    <row r="120" spans="2:9" hidden="1" x14ac:dyDescent="0.2">
      <c r="B120" s="15"/>
      <c r="C120" s="15"/>
      <c r="D120" s="15"/>
      <c r="E120" s="15"/>
      <c r="F120" s="15"/>
      <c r="G120" s="15"/>
      <c r="H120" s="10"/>
      <c r="I120" s="9"/>
    </row>
    <row r="121" spans="2:9" hidden="1" x14ac:dyDescent="0.2">
      <c r="B121" s="15"/>
      <c r="C121" s="15"/>
      <c r="D121" s="15"/>
      <c r="E121" s="15"/>
      <c r="F121" s="15"/>
      <c r="G121" s="15"/>
      <c r="H121" s="10"/>
      <c r="I121" s="9"/>
    </row>
    <row r="122" spans="2:9" hidden="1" x14ac:dyDescent="0.2">
      <c r="B122" s="15"/>
      <c r="C122" s="15"/>
      <c r="D122" s="15"/>
      <c r="E122" s="15"/>
      <c r="F122" s="15"/>
      <c r="G122" s="15"/>
      <c r="H122" s="10"/>
      <c r="I122" s="9"/>
    </row>
    <row r="123" spans="2:9" hidden="1" x14ac:dyDescent="0.2">
      <c r="B123" s="15"/>
      <c r="C123" s="15"/>
      <c r="D123" s="15"/>
      <c r="E123" s="15"/>
      <c r="F123" s="15"/>
      <c r="G123" s="15"/>
      <c r="H123" s="10"/>
      <c r="I123" s="9"/>
    </row>
    <row r="124" spans="2:9" hidden="1" x14ac:dyDescent="0.2">
      <c r="B124" s="15"/>
      <c r="C124" s="15"/>
      <c r="D124" s="15"/>
      <c r="E124" s="15"/>
      <c r="F124" s="15"/>
      <c r="G124" s="15"/>
      <c r="H124" s="10"/>
      <c r="I124" s="9"/>
    </row>
    <row r="125" spans="2:9" hidden="1" x14ac:dyDescent="0.2">
      <c r="B125" s="15"/>
      <c r="C125" s="15"/>
      <c r="D125" s="15"/>
      <c r="E125" s="15"/>
      <c r="F125" s="15"/>
      <c r="G125" s="15"/>
      <c r="H125" s="10"/>
      <c r="I125" s="9"/>
    </row>
    <row r="126" spans="2:9" hidden="1" x14ac:dyDescent="0.2">
      <c r="B126" s="15"/>
      <c r="C126" s="15"/>
      <c r="D126" s="15"/>
      <c r="E126" s="15"/>
      <c r="F126" s="15"/>
      <c r="G126" s="15"/>
      <c r="H126" s="10"/>
      <c r="I126" s="10"/>
    </row>
    <row r="127" spans="2:9" hidden="1" x14ac:dyDescent="0.2">
      <c r="B127" s="15"/>
      <c r="C127" s="15"/>
      <c r="D127" s="15"/>
      <c r="E127" s="15"/>
      <c r="F127" s="15"/>
      <c r="G127" s="15"/>
      <c r="H127" s="10"/>
      <c r="I127" s="10"/>
    </row>
    <row r="128" spans="2:9" hidden="1" x14ac:dyDescent="0.2">
      <c r="B128" s="15"/>
      <c r="C128" s="15"/>
      <c r="D128" s="15"/>
      <c r="E128" s="15"/>
      <c r="F128" s="15"/>
      <c r="G128" s="15"/>
      <c r="H128" s="10"/>
      <c r="I128" s="10"/>
    </row>
    <row r="129" spans="2:9" hidden="1" x14ac:dyDescent="0.2">
      <c r="B129" s="15"/>
      <c r="C129" s="15"/>
      <c r="D129" s="15"/>
      <c r="E129" s="15"/>
      <c r="F129" s="15"/>
      <c r="G129" s="15"/>
      <c r="H129" s="10"/>
      <c r="I129" s="10"/>
    </row>
    <row r="130" spans="2:9" hidden="1" x14ac:dyDescent="0.2">
      <c r="B130" s="15"/>
      <c r="C130" s="15"/>
      <c r="D130" s="15"/>
      <c r="E130" s="15"/>
      <c r="F130" s="15"/>
      <c r="G130" s="15"/>
      <c r="H130" s="10"/>
      <c r="I130" s="10"/>
    </row>
    <row r="131" spans="2:9" hidden="1" x14ac:dyDescent="0.2">
      <c r="B131" s="15"/>
      <c r="C131" s="15"/>
      <c r="D131" s="15"/>
      <c r="E131" s="15"/>
      <c r="F131" s="15"/>
      <c r="G131" s="15"/>
      <c r="H131" s="10"/>
      <c r="I131" s="10"/>
    </row>
    <row r="132" spans="2:9" hidden="1" x14ac:dyDescent="0.2">
      <c r="B132" s="15"/>
      <c r="C132" s="15"/>
      <c r="D132" s="15"/>
      <c r="E132" s="15"/>
      <c r="F132" s="15"/>
      <c r="G132" s="15"/>
      <c r="H132" s="10"/>
      <c r="I132" s="10"/>
    </row>
    <row r="133" spans="2:9" hidden="1" x14ac:dyDescent="0.2">
      <c r="B133" s="15"/>
      <c r="C133" s="15"/>
      <c r="D133" s="15"/>
      <c r="E133" s="15"/>
      <c r="F133" s="15"/>
      <c r="G133" s="15"/>
      <c r="H133" s="10"/>
      <c r="I133" s="10"/>
    </row>
    <row r="134" spans="2:9" hidden="1" x14ac:dyDescent="0.2">
      <c r="B134" s="15"/>
      <c r="C134" s="15"/>
      <c r="D134" s="15"/>
      <c r="E134" s="15"/>
      <c r="F134" s="15"/>
      <c r="G134" s="15"/>
      <c r="H134" s="10"/>
      <c r="I134" s="10"/>
    </row>
    <row r="135" spans="2:9" hidden="1" x14ac:dyDescent="0.2">
      <c r="B135" s="15"/>
      <c r="C135" s="15"/>
      <c r="D135" s="15"/>
      <c r="E135" s="15"/>
      <c r="F135" s="15"/>
      <c r="G135" s="15"/>
      <c r="H135" s="10"/>
      <c r="I135" s="10"/>
    </row>
    <row r="136" spans="2:9" hidden="1" x14ac:dyDescent="0.2">
      <c r="B136" s="15"/>
      <c r="C136" s="15"/>
      <c r="D136" s="15"/>
      <c r="E136" s="15"/>
      <c r="F136" s="15"/>
      <c r="G136" s="15"/>
      <c r="H136" s="10"/>
      <c r="I136" s="10"/>
    </row>
    <row r="137" spans="2:9" hidden="1" x14ac:dyDescent="0.2">
      <c r="B137" s="15"/>
      <c r="C137" s="15"/>
      <c r="D137" s="15"/>
      <c r="E137" s="15"/>
      <c r="F137" s="15"/>
      <c r="G137" s="15"/>
      <c r="H137" s="10"/>
      <c r="I137" s="10"/>
    </row>
    <row r="138" spans="2:9" hidden="1" x14ac:dyDescent="0.2">
      <c r="B138" s="15"/>
      <c r="C138" s="15"/>
      <c r="D138" s="15"/>
      <c r="E138" s="15"/>
      <c r="F138" s="15"/>
      <c r="G138" s="15"/>
      <c r="H138" s="10"/>
      <c r="I138" s="10"/>
    </row>
    <row r="139" spans="2:9" hidden="1" x14ac:dyDescent="0.2">
      <c r="B139" s="15"/>
      <c r="C139" s="15"/>
      <c r="D139" s="15"/>
      <c r="E139" s="15"/>
      <c r="F139" s="15"/>
      <c r="G139" s="15"/>
      <c r="H139" s="10"/>
      <c r="I139" s="10"/>
    </row>
    <row r="140" spans="2:9" hidden="1" x14ac:dyDescent="0.2">
      <c r="B140" s="15"/>
      <c r="C140" s="15"/>
      <c r="D140" s="15"/>
      <c r="E140" s="15"/>
      <c r="F140" s="15"/>
      <c r="G140" s="15"/>
      <c r="H140" s="10"/>
      <c r="I140" s="10"/>
    </row>
    <row r="141" spans="2:9" hidden="1" x14ac:dyDescent="0.2">
      <c r="B141" s="15"/>
      <c r="C141" s="15"/>
      <c r="D141" s="15"/>
      <c r="E141" s="15"/>
      <c r="F141" s="15"/>
      <c r="G141" s="15"/>
      <c r="H141" s="10"/>
      <c r="I141" s="10"/>
    </row>
    <row r="142" spans="2:9" hidden="1" x14ac:dyDescent="0.2">
      <c r="B142" s="15"/>
      <c r="C142" s="15"/>
      <c r="D142" s="15"/>
      <c r="E142" s="15"/>
      <c r="F142" s="15"/>
      <c r="G142" s="15"/>
      <c r="H142" s="10"/>
      <c r="I142" s="10"/>
    </row>
    <row r="143" spans="2:9" hidden="1" x14ac:dyDescent="0.2">
      <c r="B143" s="15"/>
      <c r="C143" s="15"/>
      <c r="D143" s="15"/>
      <c r="E143" s="15"/>
      <c r="F143" s="15"/>
      <c r="G143" s="15"/>
      <c r="H143" s="10"/>
      <c r="I143" s="10"/>
    </row>
    <row r="144" spans="2:9" hidden="1" x14ac:dyDescent="0.2">
      <c r="B144" s="15"/>
      <c r="C144" s="15"/>
      <c r="D144" s="15"/>
      <c r="E144" s="15"/>
      <c r="F144" s="15"/>
      <c r="G144" s="15"/>
      <c r="H144" s="10"/>
      <c r="I144" s="10"/>
    </row>
    <row r="145" spans="1:9" hidden="1" x14ac:dyDescent="0.2">
      <c r="A145" s="16"/>
      <c r="B145" s="15"/>
      <c r="C145" s="15"/>
      <c r="D145" s="15"/>
      <c r="E145" s="15"/>
      <c r="F145" s="15"/>
      <c r="G145" s="15"/>
      <c r="H145" s="10"/>
      <c r="I145" s="10"/>
    </row>
    <row r="146" spans="1:9" hidden="1" x14ac:dyDescent="0.2">
      <c r="B146" s="15"/>
      <c r="C146" s="15"/>
      <c r="D146" s="15"/>
      <c r="E146" s="15"/>
      <c r="F146" s="15"/>
      <c r="G146" s="15"/>
      <c r="H146" s="10"/>
      <c r="I146" s="10"/>
    </row>
    <row r="147" spans="1:9" hidden="1" x14ac:dyDescent="0.2">
      <c r="B147" s="15"/>
      <c r="C147" s="15"/>
      <c r="D147" s="15"/>
      <c r="E147" s="15"/>
      <c r="F147" s="15"/>
      <c r="G147" s="15"/>
      <c r="H147" s="10"/>
      <c r="I147" s="10"/>
    </row>
    <row r="148" spans="1:9" hidden="1" x14ac:dyDescent="0.2">
      <c r="B148" s="15"/>
      <c r="C148" s="15"/>
      <c r="D148" s="15"/>
      <c r="E148" s="15"/>
      <c r="F148" s="15"/>
      <c r="G148" s="15"/>
      <c r="H148" s="10"/>
      <c r="I148" s="10"/>
    </row>
    <row r="149" spans="1:9" hidden="1" x14ac:dyDescent="0.2">
      <c r="B149" s="15"/>
      <c r="C149" s="15"/>
      <c r="D149" s="15"/>
      <c r="E149" s="15"/>
      <c r="F149" s="15"/>
      <c r="G149" s="15"/>
      <c r="H149" s="10"/>
      <c r="I149" s="10"/>
    </row>
    <row r="150" spans="1:9" hidden="1" x14ac:dyDescent="0.2">
      <c r="B150" s="15"/>
      <c r="C150" s="15"/>
      <c r="D150" s="15"/>
      <c r="E150" s="15"/>
      <c r="F150" s="15"/>
      <c r="G150" s="15"/>
      <c r="H150" s="10"/>
      <c r="I150" s="10"/>
    </row>
    <row r="151" spans="1:9" hidden="1" x14ac:dyDescent="0.2">
      <c r="B151" s="15"/>
      <c r="C151" s="15"/>
      <c r="D151" s="15"/>
      <c r="E151" s="15"/>
      <c r="F151" s="15"/>
      <c r="G151" s="15"/>
      <c r="H151" s="10"/>
      <c r="I151" s="10"/>
    </row>
    <row r="152" spans="1:9" hidden="1" x14ac:dyDescent="0.2">
      <c r="B152" s="15"/>
      <c r="C152" s="15"/>
      <c r="D152" s="15"/>
      <c r="E152" s="15"/>
      <c r="F152" s="15"/>
      <c r="G152" s="15"/>
      <c r="H152" s="10"/>
      <c r="I152" s="10"/>
    </row>
    <row r="153" spans="1:9" hidden="1" x14ac:dyDescent="0.2">
      <c r="B153" s="15"/>
      <c r="C153" s="15"/>
      <c r="D153" s="15"/>
      <c r="E153" s="15"/>
      <c r="F153" s="15"/>
      <c r="G153" s="15"/>
      <c r="H153" s="10"/>
      <c r="I153" s="10"/>
    </row>
    <row r="154" spans="1:9" hidden="1" x14ac:dyDescent="0.2">
      <c r="B154" s="15"/>
      <c r="C154" s="15"/>
      <c r="D154" s="15"/>
      <c r="E154" s="15"/>
      <c r="F154" s="15"/>
      <c r="G154" s="15"/>
      <c r="H154" s="10"/>
      <c r="I154" s="10"/>
    </row>
    <row r="155" spans="1:9" hidden="1" x14ac:dyDescent="0.2">
      <c r="B155" s="15"/>
      <c r="C155" s="15"/>
      <c r="D155" s="15"/>
      <c r="E155" s="15"/>
      <c r="F155" s="15"/>
      <c r="G155" s="15"/>
      <c r="H155" s="10"/>
      <c r="I155" s="10"/>
    </row>
    <row r="156" spans="1:9" hidden="1" x14ac:dyDescent="0.2">
      <c r="B156" s="15"/>
      <c r="C156" s="15"/>
      <c r="D156" s="15"/>
      <c r="E156" s="15"/>
      <c r="F156" s="15"/>
      <c r="G156" s="15"/>
      <c r="H156" s="10"/>
      <c r="I156" s="10"/>
    </row>
    <row r="157" spans="1:9" hidden="1" x14ac:dyDescent="0.2">
      <c r="B157" s="15"/>
      <c r="C157" s="15"/>
      <c r="D157" s="15"/>
      <c r="E157" s="15"/>
      <c r="F157" s="15"/>
      <c r="G157" s="15"/>
      <c r="H157" s="10"/>
      <c r="I157" s="10"/>
    </row>
    <row r="158" spans="1:9" hidden="1" x14ac:dyDescent="0.2">
      <c r="B158" s="15"/>
      <c r="C158" s="15"/>
      <c r="D158" s="15"/>
      <c r="E158" s="15"/>
      <c r="F158" s="15"/>
      <c r="G158" s="15"/>
      <c r="H158" s="10"/>
      <c r="I158" s="10"/>
    </row>
    <row r="159" spans="1:9" hidden="1" x14ac:dyDescent="0.2">
      <c r="B159" s="15"/>
      <c r="C159" s="15"/>
      <c r="D159" s="15"/>
      <c r="E159" s="15"/>
      <c r="F159" s="15"/>
      <c r="G159" s="15"/>
      <c r="H159" s="10"/>
      <c r="I159" s="10"/>
    </row>
    <row r="160" spans="1:9" hidden="1" x14ac:dyDescent="0.2">
      <c r="B160" s="15"/>
      <c r="C160" s="15"/>
      <c r="D160" s="15"/>
      <c r="E160" s="15"/>
      <c r="F160" s="15"/>
      <c r="G160" s="15"/>
      <c r="H160" s="10"/>
      <c r="I160" s="10"/>
    </row>
    <row r="161" spans="2:9" hidden="1" x14ac:dyDescent="0.2">
      <c r="B161" s="15"/>
      <c r="C161" s="15"/>
      <c r="D161" s="15"/>
      <c r="E161" s="15"/>
      <c r="F161" s="15"/>
      <c r="G161" s="15"/>
      <c r="H161" s="10"/>
      <c r="I161" s="10"/>
    </row>
    <row r="162" spans="2:9" hidden="1" x14ac:dyDescent="0.2">
      <c r="B162" s="15"/>
      <c r="C162" s="15"/>
      <c r="D162" s="15"/>
      <c r="E162" s="15"/>
      <c r="F162" s="15"/>
      <c r="G162" s="15"/>
      <c r="H162" s="10"/>
      <c r="I162" s="10"/>
    </row>
    <row r="163" spans="2:9" hidden="1" x14ac:dyDescent="0.2">
      <c r="B163" s="15"/>
      <c r="C163" s="15"/>
      <c r="D163" s="15"/>
      <c r="E163" s="15"/>
      <c r="F163" s="15"/>
      <c r="G163" s="15"/>
      <c r="H163" s="10"/>
      <c r="I163" s="10"/>
    </row>
    <row r="164" spans="2:9" hidden="1" x14ac:dyDescent="0.2">
      <c r="B164" s="15"/>
      <c r="C164" s="15"/>
      <c r="D164" s="15"/>
      <c r="E164" s="15"/>
      <c r="F164" s="15"/>
      <c r="G164" s="15"/>
      <c r="H164" s="10"/>
      <c r="I164" s="10"/>
    </row>
    <row r="165" spans="2:9" hidden="1" x14ac:dyDescent="0.2">
      <c r="B165" s="15"/>
      <c r="C165" s="15"/>
      <c r="D165" s="15"/>
      <c r="E165" s="15"/>
      <c r="F165" s="15"/>
      <c r="G165" s="15"/>
      <c r="H165" s="10"/>
      <c r="I165" s="10"/>
    </row>
    <row r="166" spans="2:9" hidden="1" x14ac:dyDescent="0.2">
      <c r="B166" s="15"/>
      <c r="C166" s="15"/>
      <c r="D166" s="15"/>
      <c r="E166" s="15"/>
      <c r="F166" s="15"/>
      <c r="G166" s="15"/>
      <c r="H166" s="10"/>
      <c r="I166" s="10"/>
    </row>
    <row r="167" spans="2:9" hidden="1" x14ac:dyDescent="0.2">
      <c r="B167" s="15"/>
      <c r="C167" s="15"/>
      <c r="D167" s="15"/>
      <c r="E167" s="15"/>
      <c r="F167" s="15"/>
      <c r="G167" s="15"/>
      <c r="H167" s="10"/>
      <c r="I167" s="10"/>
    </row>
    <row r="168" spans="2:9" hidden="1" x14ac:dyDescent="0.2">
      <c r="B168" s="15"/>
      <c r="C168" s="15"/>
      <c r="D168" s="15"/>
      <c r="E168" s="15"/>
      <c r="F168" s="15"/>
      <c r="G168" s="15"/>
      <c r="H168" s="10"/>
      <c r="I168" s="10"/>
    </row>
    <row r="169" spans="2:9" hidden="1" x14ac:dyDescent="0.2">
      <c r="B169" s="15"/>
      <c r="C169" s="15"/>
      <c r="D169" s="15"/>
      <c r="E169" s="15"/>
      <c r="F169" s="15"/>
      <c r="G169" s="15"/>
      <c r="H169" s="10"/>
      <c r="I169" s="10"/>
    </row>
    <row r="170" spans="2:9" hidden="1" x14ac:dyDescent="0.2">
      <c r="B170" s="15"/>
      <c r="C170" s="15"/>
      <c r="D170" s="15"/>
      <c r="E170" s="15"/>
      <c r="F170" s="15"/>
      <c r="G170" s="15"/>
      <c r="H170" s="10"/>
      <c r="I170" s="10"/>
    </row>
    <row r="171" spans="2:9" hidden="1" x14ac:dyDescent="0.2">
      <c r="B171" s="15"/>
      <c r="C171" s="15"/>
      <c r="D171" s="15"/>
      <c r="E171" s="15"/>
      <c r="F171" s="15"/>
      <c r="G171" s="15"/>
      <c r="H171" s="10"/>
      <c r="I171" s="10"/>
    </row>
    <row r="172" spans="2:9" hidden="1" x14ac:dyDescent="0.2">
      <c r="B172" s="15"/>
      <c r="C172" s="15"/>
      <c r="D172" s="15"/>
      <c r="E172" s="15"/>
      <c r="F172" s="15"/>
      <c r="G172" s="15"/>
      <c r="H172" s="10"/>
      <c r="I172" s="10"/>
    </row>
    <row r="173" spans="2:9" hidden="1" x14ac:dyDescent="0.2">
      <c r="B173" s="15"/>
      <c r="C173" s="15"/>
      <c r="D173" s="15"/>
      <c r="E173" s="15"/>
      <c r="F173" s="15"/>
      <c r="G173" s="15"/>
      <c r="H173" s="10"/>
      <c r="I173" s="10"/>
    </row>
    <row r="174" spans="2:9" hidden="1" x14ac:dyDescent="0.2">
      <c r="B174" s="15"/>
      <c r="C174" s="15"/>
      <c r="D174" s="15"/>
      <c r="E174" s="15"/>
      <c r="F174" s="15"/>
      <c r="G174" s="15"/>
      <c r="H174" s="10"/>
      <c r="I174" s="10"/>
    </row>
    <row r="175" spans="2:9" hidden="1" x14ac:dyDescent="0.2">
      <c r="B175" s="15"/>
      <c r="C175" s="15"/>
      <c r="D175" s="15"/>
      <c r="E175" s="15"/>
      <c r="F175" s="15"/>
      <c r="G175" s="15"/>
      <c r="H175" s="10"/>
      <c r="I175" s="10"/>
    </row>
    <row r="176" spans="2:9" hidden="1" x14ac:dyDescent="0.2">
      <c r="B176" s="15"/>
      <c r="C176" s="15"/>
      <c r="D176" s="15"/>
      <c r="E176" s="15"/>
      <c r="F176" s="15"/>
      <c r="G176" s="15"/>
      <c r="H176" s="10"/>
      <c r="I176" s="10"/>
    </row>
    <row r="177" spans="2:9" hidden="1" x14ac:dyDescent="0.2">
      <c r="B177" s="15"/>
      <c r="C177" s="15"/>
      <c r="D177" s="15"/>
      <c r="E177" s="15"/>
      <c r="F177" s="15"/>
      <c r="G177" s="15"/>
      <c r="H177" s="10"/>
      <c r="I177" s="10"/>
    </row>
    <row r="178" spans="2:9" hidden="1" x14ac:dyDescent="0.2">
      <c r="B178" s="15"/>
      <c r="C178" s="15"/>
      <c r="D178" s="15"/>
      <c r="E178" s="15"/>
      <c r="F178" s="15"/>
      <c r="G178" s="15"/>
      <c r="H178" s="10"/>
      <c r="I178" s="10"/>
    </row>
    <row r="179" spans="2:9" hidden="1" x14ac:dyDescent="0.2">
      <c r="B179" s="15"/>
      <c r="C179" s="15"/>
      <c r="D179" s="15"/>
      <c r="E179" s="15"/>
      <c r="F179" s="15"/>
      <c r="G179" s="15"/>
      <c r="H179" s="10"/>
      <c r="I179" s="10"/>
    </row>
    <row r="180" spans="2:9" hidden="1" x14ac:dyDescent="0.2">
      <c r="B180" s="15"/>
      <c r="C180" s="15"/>
      <c r="D180" s="15"/>
      <c r="E180" s="15"/>
      <c r="F180" s="15"/>
      <c r="G180" s="15"/>
      <c r="H180" s="10"/>
      <c r="I180" s="10"/>
    </row>
    <row r="181" spans="2:9" hidden="1" x14ac:dyDescent="0.2">
      <c r="B181" s="15"/>
      <c r="C181" s="15"/>
      <c r="D181" s="15"/>
      <c r="E181" s="15"/>
      <c r="F181" s="15"/>
      <c r="G181" s="15"/>
      <c r="H181" s="10"/>
      <c r="I181" s="10"/>
    </row>
    <row r="182" spans="2:9" hidden="1" x14ac:dyDescent="0.2">
      <c r="B182" s="15"/>
      <c r="C182" s="15"/>
      <c r="D182" s="15"/>
      <c r="E182" s="15"/>
      <c r="F182" s="15"/>
      <c r="G182" s="15"/>
      <c r="H182" s="10"/>
      <c r="I182" s="10"/>
    </row>
    <row r="183" spans="2:9" hidden="1" x14ac:dyDescent="0.2">
      <c r="B183" s="15"/>
      <c r="C183" s="15"/>
      <c r="D183" s="15"/>
      <c r="E183" s="15"/>
      <c r="F183" s="15"/>
      <c r="G183" s="15"/>
      <c r="H183" s="10"/>
      <c r="I183" s="10"/>
    </row>
    <row r="184" spans="2:9" hidden="1" x14ac:dyDescent="0.2">
      <c r="B184" s="15"/>
      <c r="C184" s="15"/>
      <c r="D184" s="15"/>
      <c r="E184" s="15"/>
      <c r="F184" s="15"/>
      <c r="G184" s="15"/>
      <c r="H184" s="10"/>
      <c r="I184" s="10"/>
    </row>
    <row r="185" spans="2:9" hidden="1" x14ac:dyDescent="0.2">
      <c r="B185" s="15"/>
      <c r="C185" s="15"/>
      <c r="D185" s="15"/>
      <c r="E185" s="15"/>
      <c r="F185" s="15"/>
      <c r="G185" s="15"/>
      <c r="H185" s="10"/>
      <c r="I185" s="10"/>
    </row>
    <row r="186" spans="2:9" hidden="1" x14ac:dyDescent="0.2">
      <c r="B186" s="15"/>
      <c r="C186" s="15"/>
      <c r="D186" s="15"/>
      <c r="E186" s="15"/>
      <c r="F186" s="15"/>
      <c r="G186" s="15"/>
      <c r="H186" s="10"/>
      <c r="I186" s="10"/>
    </row>
    <row r="187" spans="2:9" hidden="1" x14ac:dyDescent="0.2">
      <c r="B187" s="15"/>
      <c r="C187" s="15"/>
      <c r="D187" s="15"/>
      <c r="E187" s="15"/>
      <c r="F187" s="15"/>
      <c r="G187" s="15"/>
      <c r="H187" s="10"/>
      <c r="I187" s="10"/>
    </row>
    <row r="188" spans="2:9" hidden="1" x14ac:dyDescent="0.2">
      <c r="B188" s="15"/>
      <c r="C188" s="15"/>
      <c r="D188" s="15"/>
      <c r="E188" s="15"/>
      <c r="F188" s="15"/>
      <c r="G188" s="15"/>
      <c r="H188" s="10"/>
      <c r="I188" s="10"/>
    </row>
    <row r="189" spans="2:9" hidden="1" x14ac:dyDescent="0.2">
      <c r="B189" s="15"/>
      <c r="C189" s="15"/>
      <c r="D189" s="15"/>
      <c r="E189" s="15"/>
      <c r="F189" s="15"/>
      <c r="G189" s="15"/>
      <c r="H189" s="10"/>
      <c r="I189" s="10"/>
    </row>
    <row r="190" spans="2:9" hidden="1" x14ac:dyDescent="0.2">
      <c r="B190" s="15"/>
      <c r="C190" s="15"/>
      <c r="D190" s="15"/>
      <c r="E190" s="15"/>
      <c r="F190" s="15"/>
      <c r="G190" s="15"/>
      <c r="H190" s="10"/>
      <c r="I190" s="10"/>
    </row>
    <row r="191" spans="2:9" hidden="1" x14ac:dyDescent="0.2">
      <c r="B191" s="15"/>
      <c r="C191" s="15"/>
      <c r="D191" s="15"/>
      <c r="E191" s="15"/>
      <c r="F191" s="15"/>
      <c r="G191" s="15"/>
      <c r="H191" s="10"/>
      <c r="I191" s="10"/>
    </row>
    <row r="192" spans="2:9" hidden="1" x14ac:dyDescent="0.2">
      <c r="B192" s="15"/>
      <c r="C192" s="15"/>
      <c r="D192" s="15"/>
      <c r="E192" s="15"/>
      <c r="F192" s="15"/>
      <c r="G192" s="15"/>
      <c r="H192" s="10"/>
      <c r="I192" s="10"/>
    </row>
    <row r="193" spans="2:9" hidden="1" x14ac:dyDescent="0.2">
      <c r="B193" s="15"/>
      <c r="C193" s="15"/>
      <c r="D193" s="15"/>
      <c r="E193" s="15"/>
      <c r="F193" s="15"/>
      <c r="G193" s="15"/>
      <c r="H193" s="10"/>
      <c r="I193" s="10"/>
    </row>
    <row r="194" spans="2:9" hidden="1" x14ac:dyDescent="0.2">
      <c r="B194" s="15"/>
      <c r="C194" s="15"/>
      <c r="D194" s="15"/>
      <c r="E194" s="15"/>
      <c r="F194" s="15"/>
      <c r="G194" s="15"/>
      <c r="H194" s="10"/>
      <c r="I194" s="10"/>
    </row>
    <row r="195" spans="2:9" hidden="1" x14ac:dyDescent="0.2">
      <c r="B195" s="15"/>
      <c r="C195" s="15"/>
      <c r="D195" s="15"/>
      <c r="E195" s="15"/>
      <c r="F195" s="15"/>
      <c r="G195" s="15"/>
      <c r="H195" s="10"/>
      <c r="I195" s="10"/>
    </row>
    <row r="196" spans="2:9" hidden="1" x14ac:dyDescent="0.2">
      <c r="B196" s="15"/>
      <c r="C196" s="15"/>
      <c r="D196" s="15"/>
      <c r="E196" s="15"/>
      <c r="F196" s="15"/>
      <c r="G196" s="15"/>
      <c r="H196" s="10"/>
      <c r="I196" s="10"/>
    </row>
    <row r="197" spans="2:9" hidden="1" x14ac:dyDescent="0.2">
      <c r="B197" s="15"/>
      <c r="C197" s="15"/>
      <c r="D197" s="15"/>
      <c r="E197" s="15"/>
      <c r="F197" s="15"/>
      <c r="G197" s="15"/>
      <c r="H197" s="10"/>
      <c r="I197" s="10"/>
    </row>
    <row r="198" spans="2:9" hidden="1" x14ac:dyDescent="0.2">
      <c r="B198" s="15"/>
      <c r="C198" s="15"/>
      <c r="D198" s="15"/>
      <c r="E198" s="15"/>
      <c r="F198" s="15"/>
      <c r="G198" s="15"/>
      <c r="H198" s="10"/>
      <c r="I198" s="10"/>
    </row>
    <row r="199" spans="2:9" hidden="1" x14ac:dyDescent="0.2">
      <c r="B199" s="15"/>
      <c r="C199" s="15"/>
      <c r="D199" s="15"/>
      <c r="E199" s="15"/>
      <c r="F199" s="15"/>
      <c r="G199" s="15"/>
      <c r="H199" s="10"/>
      <c r="I199" s="10"/>
    </row>
    <row r="200" spans="2:9" hidden="1" x14ac:dyDescent="0.2">
      <c r="B200" s="15"/>
      <c r="C200" s="15"/>
      <c r="D200" s="15"/>
      <c r="E200" s="15"/>
      <c r="F200" s="15"/>
      <c r="G200" s="15"/>
      <c r="H200" s="10"/>
      <c r="I200" s="10"/>
    </row>
    <row r="201" spans="2:9" hidden="1" x14ac:dyDescent="0.2">
      <c r="B201" s="15"/>
      <c r="C201" s="15"/>
      <c r="D201" s="15"/>
      <c r="E201" s="15"/>
      <c r="F201" s="15"/>
      <c r="G201" s="15"/>
      <c r="H201" s="10"/>
      <c r="I201" s="10"/>
    </row>
    <row r="202" spans="2:9" hidden="1" x14ac:dyDescent="0.2">
      <c r="B202" s="15"/>
      <c r="C202" s="15"/>
      <c r="D202" s="15"/>
      <c r="E202" s="15"/>
      <c r="F202" s="15"/>
      <c r="G202" s="15"/>
      <c r="H202" s="10"/>
      <c r="I202" s="10"/>
    </row>
    <row r="203" spans="2:9" hidden="1" x14ac:dyDescent="0.2">
      <c r="B203" s="15"/>
      <c r="C203" s="15"/>
      <c r="D203" s="15"/>
      <c r="E203" s="15"/>
      <c r="F203" s="15"/>
      <c r="G203" s="15"/>
      <c r="H203" s="10"/>
      <c r="I203" s="10"/>
    </row>
    <row r="204" spans="2:9" hidden="1" x14ac:dyDescent="0.2">
      <c r="B204" s="15"/>
      <c r="C204" s="15"/>
      <c r="D204" s="15"/>
      <c r="E204" s="15"/>
      <c r="F204" s="15"/>
      <c r="G204" s="15"/>
      <c r="H204" s="10"/>
      <c r="I204" s="10"/>
    </row>
    <row r="205" spans="2:9" hidden="1" x14ac:dyDescent="0.2">
      <c r="B205" s="15"/>
      <c r="C205" s="15"/>
      <c r="D205" s="15"/>
      <c r="E205" s="15"/>
      <c r="F205" s="15"/>
      <c r="G205" s="15"/>
      <c r="H205" s="10"/>
      <c r="I205" s="10"/>
    </row>
    <row r="206" spans="2:9" hidden="1" x14ac:dyDescent="0.2">
      <c r="B206" s="15"/>
      <c r="C206" s="15"/>
      <c r="D206" s="15"/>
      <c r="E206" s="15"/>
      <c r="F206" s="15"/>
      <c r="G206" s="15"/>
      <c r="H206" s="10"/>
      <c r="I206" s="10"/>
    </row>
    <row r="207" spans="2:9" hidden="1" x14ac:dyDescent="0.2">
      <c r="B207" s="15"/>
      <c r="C207" s="15"/>
      <c r="D207" s="15"/>
      <c r="E207" s="15"/>
      <c r="F207" s="15"/>
      <c r="G207" s="15"/>
      <c r="H207" s="10"/>
      <c r="I207" s="10"/>
    </row>
    <row r="208" spans="2:9" hidden="1" x14ac:dyDescent="0.2">
      <c r="B208" s="15"/>
      <c r="C208" s="15"/>
      <c r="D208" s="15"/>
      <c r="E208" s="15"/>
      <c r="F208" s="15"/>
      <c r="G208" s="15"/>
      <c r="H208" s="10"/>
      <c r="I208" s="10"/>
    </row>
    <row r="209" spans="2:9" hidden="1" x14ac:dyDescent="0.2">
      <c r="B209" s="15"/>
      <c r="C209" s="15"/>
      <c r="D209" s="15"/>
      <c r="E209" s="15"/>
      <c r="F209" s="15"/>
      <c r="G209" s="15"/>
      <c r="H209" s="10"/>
      <c r="I209" s="10"/>
    </row>
    <row r="210" spans="2:9" hidden="1" x14ac:dyDescent="0.2">
      <c r="B210" s="15"/>
      <c r="C210" s="15"/>
      <c r="D210" s="15"/>
      <c r="E210" s="15"/>
      <c r="F210" s="15"/>
      <c r="G210" s="15"/>
      <c r="H210" s="10"/>
      <c r="I210" s="10"/>
    </row>
    <row r="211" spans="2:9" hidden="1" x14ac:dyDescent="0.2">
      <c r="B211" s="15"/>
      <c r="C211" s="15"/>
      <c r="D211" s="15"/>
      <c r="E211" s="15"/>
      <c r="F211" s="15"/>
      <c r="G211" s="15"/>
      <c r="H211" s="10"/>
      <c r="I211" s="10"/>
    </row>
    <row r="212" spans="2:9" hidden="1" x14ac:dyDescent="0.2">
      <c r="B212" s="15"/>
      <c r="C212" s="15"/>
      <c r="D212" s="15"/>
      <c r="E212" s="15"/>
      <c r="F212" s="15"/>
      <c r="G212" s="15"/>
      <c r="H212" s="10"/>
      <c r="I212" s="10"/>
    </row>
    <row r="213" spans="2:9" hidden="1" x14ac:dyDescent="0.2">
      <c r="B213" s="15"/>
      <c r="C213" s="15"/>
      <c r="D213" s="15"/>
      <c r="E213" s="15"/>
      <c r="F213" s="15"/>
      <c r="G213" s="15"/>
      <c r="H213" s="10"/>
      <c r="I213" s="10"/>
    </row>
    <row r="214" spans="2:9" hidden="1" x14ac:dyDescent="0.2">
      <c r="B214" s="15"/>
      <c r="C214" s="15"/>
      <c r="D214" s="15"/>
      <c r="E214" s="15"/>
      <c r="F214" s="15"/>
      <c r="G214" s="15"/>
      <c r="H214" s="10"/>
      <c r="I214" s="10"/>
    </row>
    <row r="215" spans="2:9" hidden="1" x14ac:dyDescent="0.2">
      <c r="B215" s="15"/>
      <c r="C215" s="15"/>
      <c r="D215" s="15"/>
      <c r="E215" s="15"/>
      <c r="F215" s="15"/>
      <c r="G215" s="15"/>
      <c r="H215" s="10"/>
      <c r="I215" s="10"/>
    </row>
    <row r="216" spans="2:9" hidden="1" x14ac:dyDescent="0.2">
      <c r="B216" s="15"/>
      <c r="C216" s="15"/>
      <c r="D216" s="15"/>
      <c r="E216" s="15"/>
      <c r="F216" s="15"/>
      <c r="G216" s="15"/>
      <c r="H216" s="10"/>
      <c r="I216" s="10"/>
    </row>
    <row r="217" spans="2:9" hidden="1" x14ac:dyDescent="0.2">
      <c r="B217" s="15"/>
      <c r="C217" s="15"/>
      <c r="D217" s="15"/>
      <c r="E217" s="15"/>
      <c r="F217" s="15"/>
      <c r="G217" s="15"/>
      <c r="H217" s="10"/>
      <c r="I217" s="10"/>
    </row>
    <row r="218" spans="2:9" hidden="1" x14ac:dyDescent="0.2">
      <c r="B218" s="15"/>
      <c r="C218" s="15"/>
      <c r="D218" s="15"/>
      <c r="E218" s="15"/>
      <c r="F218" s="15"/>
      <c r="G218" s="15"/>
      <c r="H218" s="10"/>
      <c r="I218" s="10"/>
    </row>
    <row r="219" spans="2:9" hidden="1" x14ac:dyDescent="0.2">
      <c r="B219" s="15"/>
      <c r="C219" s="15"/>
      <c r="D219" s="15"/>
      <c r="E219" s="15"/>
      <c r="F219" s="15"/>
      <c r="G219" s="15"/>
      <c r="H219" s="10"/>
      <c r="I219" s="10"/>
    </row>
    <row r="220" spans="2:9" hidden="1" x14ac:dyDescent="0.2">
      <c r="B220" s="15"/>
      <c r="C220" s="15"/>
      <c r="D220" s="15"/>
      <c r="E220" s="15"/>
      <c r="F220" s="15"/>
      <c r="G220" s="15"/>
      <c r="H220" s="10"/>
      <c r="I220" s="10"/>
    </row>
    <row r="221" spans="2:9" hidden="1" x14ac:dyDescent="0.2">
      <c r="B221" s="15"/>
      <c r="C221" s="15"/>
      <c r="D221" s="15"/>
      <c r="E221" s="15"/>
      <c r="F221" s="15"/>
      <c r="G221" s="15"/>
      <c r="H221" s="10"/>
      <c r="I221" s="10"/>
    </row>
    <row r="222" spans="2:9" hidden="1" x14ac:dyDescent="0.2">
      <c r="B222" s="15"/>
      <c r="C222" s="15"/>
      <c r="D222" s="15"/>
      <c r="E222" s="15"/>
      <c r="F222" s="15"/>
      <c r="G222" s="15"/>
      <c r="H222" s="10"/>
      <c r="I222" s="10"/>
    </row>
    <row r="223" spans="2:9" hidden="1" x14ac:dyDescent="0.2">
      <c r="B223" s="15"/>
      <c r="C223" s="15"/>
      <c r="D223" s="15"/>
      <c r="E223" s="15"/>
      <c r="F223" s="15"/>
      <c r="G223" s="15"/>
      <c r="H223" s="10"/>
      <c r="I223" s="10"/>
    </row>
    <row r="224" spans="2:9" hidden="1" x14ac:dyDescent="0.2">
      <c r="B224" s="15"/>
      <c r="C224" s="15"/>
      <c r="D224" s="15"/>
      <c r="E224" s="15"/>
      <c r="F224" s="15"/>
      <c r="G224" s="15"/>
      <c r="H224" s="10"/>
      <c r="I224" s="10"/>
    </row>
    <row r="225" spans="2:9" hidden="1" x14ac:dyDescent="0.2">
      <c r="B225" s="15"/>
      <c r="C225" s="15"/>
      <c r="D225" s="15"/>
      <c r="E225" s="15"/>
      <c r="F225" s="15"/>
      <c r="G225" s="15"/>
      <c r="H225" s="10"/>
      <c r="I225" s="10"/>
    </row>
    <row r="226" spans="2:9" hidden="1" x14ac:dyDescent="0.2">
      <c r="B226" s="15"/>
      <c r="C226" s="15"/>
      <c r="D226" s="15"/>
      <c r="E226" s="15"/>
      <c r="F226" s="15"/>
      <c r="G226" s="15"/>
      <c r="H226" s="10"/>
      <c r="I226" s="10"/>
    </row>
    <row r="227" spans="2:9" hidden="1" x14ac:dyDescent="0.2">
      <c r="B227" s="15"/>
      <c r="C227" s="15"/>
      <c r="D227" s="15"/>
      <c r="E227" s="15"/>
      <c r="F227" s="15"/>
      <c r="G227" s="15"/>
      <c r="H227" s="10"/>
      <c r="I227" s="10"/>
    </row>
    <row r="228" spans="2:9" hidden="1" x14ac:dyDescent="0.2">
      <c r="B228" s="15"/>
      <c r="C228" s="15"/>
      <c r="D228" s="15"/>
      <c r="E228" s="15"/>
      <c r="F228" s="15"/>
      <c r="G228" s="15"/>
      <c r="H228" s="10"/>
      <c r="I228" s="10"/>
    </row>
    <row r="229" spans="2:9" hidden="1" x14ac:dyDescent="0.2">
      <c r="B229" s="15"/>
      <c r="C229" s="15"/>
      <c r="D229" s="15"/>
      <c r="E229" s="15"/>
      <c r="F229" s="15"/>
      <c r="G229" s="15"/>
      <c r="H229" s="10"/>
      <c r="I229" s="10"/>
    </row>
    <row r="230" spans="2:9" hidden="1" x14ac:dyDescent="0.2">
      <c r="B230" s="15"/>
      <c r="C230" s="15"/>
      <c r="D230" s="15"/>
      <c r="E230" s="15"/>
      <c r="F230" s="15"/>
      <c r="G230" s="15"/>
      <c r="H230" s="10"/>
      <c r="I230" s="10"/>
    </row>
    <row r="231" spans="2:9" hidden="1" x14ac:dyDescent="0.2">
      <c r="B231" s="15"/>
      <c r="C231" s="15"/>
      <c r="D231" s="15"/>
      <c r="E231" s="15"/>
      <c r="F231" s="15"/>
      <c r="G231" s="15"/>
      <c r="H231" s="10"/>
      <c r="I231" s="10"/>
    </row>
    <row r="232" spans="2:9" hidden="1" x14ac:dyDescent="0.2">
      <c r="B232" s="15"/>
      <c r="C232" s="15"/>
      <c r="D232" s="15"/>
      <c r="E232" s="15"/>
      <c r="F232" s="15"/>
      <c r="G232" s="15"/>
      <c r="H232" s="10"/>
      <c r="I232" s="10"/>
    </row>
    <row r="233" spans="2:9" hidden="1" x14ac:dyDescent="0.2">
      <c r="B233" s="15"/>
      <c r="C233" s="15"/>
      <c r="D233" s="15"/>
      <c r="E233" s="15"/>
      <c r="F233" s="15"/>
      <c r="G233" s="15"/>
      <c r="H233" s="10"/>
      <c r="I233" s="10"/>
    </row>
    <row r="234" spans="2:9" hidden="1" x14ac:dyDescent="0.2">
      <c r="B234" s="15"/>
      <c r="C234" s="15"/>
      <c r="D234" s="15"/>
      <c r="E234" s="15"/>
      <c r="F234" s="15"/>
      <c r="G234" s="15"/>
      <c r="H234" s="10"/>
      <c r="I234" s="10"/>
    </row>
    <row r="235" spans="2:9" hidden="1" x14ac:dyDescent="0.2">
      <c r="B235" s="15"/>
      <c r="C235" s="15"/>
      <c r="D235" s="15"/>
      <c r="E235" s="15"/>
      <c r="F235" s="15"/>
      <c r="G235" s="15"/>
      <c r="H235" s="10"/>
      <c r="I235" s="10"/>
    </row>
    <row r="236" spans="2:9" hidden="1" x14ac:dyDescent="0.2">
      <c r="B236" s="15"/>
      <c r="C236" s="15"/>
      <c r="D236" s="15"/>
      <c r="E236" s="15"/>
      <c r="F236" s="15"/>
      <c r="G236" s="15"/>
      <c r="H236" s="10"/>
      <c r="I236" s="10"/>
    </row>
    <row r="237" spans="2:9" hidden="1" x14ac:dyDescent="0.2">
      <c r="B237" s="15"/>
      <c r="C237" s="15"/>
      <c r="D237" s="15"/>
      <c r="E237" s="15"/>
      <c r="F237" s="15"/>
      <c r="G237" s="15"/>
      <c r="H237" s="10"/>
      <c r="I237" s="10"/>
    </row>
    <row r="238" spans="2:9" hidden="1" x14ac:dyDescent="0.2">
      <c r="B238" s="15"/>
      <c r="C238" s="15"/>
      <c r="D238" s="15"/>
      <c r="E238" s="15"/>
      <c r="F238" s="15"/>
      <c r="G238" s="15"/>
      <c r="H238" s="10"/>
      <c r="I238" s="10"/>
    </row>
    <row r="239" spans="2:9" hidden="1" x14ac:dyDescent="0.2">
      <c r="B239" s="15"/>
      <c r="C239" s="15"/>
      <c r="D239" s="15"/>
      <c r="E239" s="15"/>
      <c r="F239" s="15"/>
      <c r="G239" s="15"/>
      <c r="H239" s="10"/>
      <c r="I239" s="10"/>
    </row>
    <row r="240" spans="2:9" hidden="1" x14ac:dyDescent="0.2">
      <c r="B240" s="15"/>
      <c r="C240" s="15"/>
      <c r="D240" s="15"/>
      <c r="E240" s="15"/>
      <c r="F240" s="15"/>
      <c r="G240" s="15"/>
      <c r="H240" s="10"/>
      <c r="I240" s="10"/>
    </row>
    <row r="241" spans="2:9" hidden="1" x14ac:dyDescent="0.2">
      <c r="B241" s="15"/>
      <c r="C241" s="15"/>
      <c r="D241" s="15"/>
      <c r="E241" s="15"/>
      <c r="F241" s="15"/>
      <c r="G241" s="15"/>
      <c r="H241" s="10"/>
      <c r="I241" s="10"/>
    </row>
    <row r="242" spans="2:9" hidden="1" x14ac:dyDescent="0.2">
      <c r="B242" s="15"/>
      <c r="C242" s="15"/>
      <c r="D242" s="15"/>
      <c r="E242" s="15"/>
      <c r="F242" s="15"/>
      <c r="G242" s="15"/>
      <c r="H242" s="10"/>
      <c r="I242" s="10"/>
    </row>
    <row r="243" spans="2:9" hidden="1" x14ac:dyDescent="0.2">
      <c r="B243" s="15"/>
      <c r="C243" s="15"/>
      <c r="D243" s="15"/>
      <c r="E243" s="15"/>
      <c r="F243" s="15"/>
      <c r="G243" s="15"/>
      <c r="H243" s="10"/>
      <c r="I243" s="10"/>
    </row>
    <row r="244" spans="2:9" hidden="1" x14ac:dyDescent="0.2">
      <c r="B244" s="15"/>
      <c r="C244" s="15"/>
      <c r="D244" s="15"/>
      <c r="E244" s="15"/>
      <c r="F244" s="15"/>
      <c r="G244" s="15"/>
      <c r="H244" s="10"/>
      <c r="I244" s="10"/>
    </row>
    <row r="245" spans="2:9" hidden="1" x14ac:dyDescent="0.2">
      <c r="B245" s="15"/>
      <c r="C245" s="15"/>
      <c r="D245" s="15"/>
      <c r="E245" s="15"/>
      <c r="F245" s="15"/>
      <c r="G245" s="15"/>
      <c r="H245" s="10"/>
      <c r="I245" s="10"/>
    </row>
    <row r="246" spans="2:9" hidden="1" x14ac:dyDescent="0.2">
      <c r="B246" s="15"/>
      <c r="C246" s="15"/>
      <c r="D246" s="15"/>
      <c r="E246" s="15"/>
      <c r="F246" s="15"/>
      <c r="G246" s="15"/>
      <c r="H246" s="10"/>
      <c r="I246" s="10"/>
    </row>
    <row r="247" spans="2:9" hidden="1" x14ac:dyDescent="0.2">
      <c r="B247" s="15"/>
      <c r="C247" s="15"/>
      <c r="D247" s="15"/>
      <c r="E247" s="15"/>
      <c r="F247" s="15"/>
      <c r="G247" s="15"/>
      <c r="H247" s="10"/>
      <c r="I247" s="10"/>
    </row>
    <row r="248" spans="2:9" hidden="1" x14ac:dyDescent="0.2">
      <c r="B248" s="15"/>
      <c r="C248" s="15"/>
      <c r="D248" s="15"/>
      <c r="E248" s="15"/>
      <c r="F248" s="15"/>
      <c r="G248" s="15"/>
      <c r="H248" s="10"/>
      <c r="I248" s="10"/>
    </row>
    <row r="249" spans="2:9" hidden="1" x14ac:dyDescent="0.2">
      <c r="B249" s="15"/>
      <c r="C249" s="15"/>
      <c r="D249" s="15"/>
      <c r="E249" s="15"/>
      <c r="F249" s="15"/>
      <c r="G249" s="15"/>
      <c r="H249" s="10"/>
      <c r="I249" s="10"/>
    </row>
    <row r="250" spans="2:9" hidden="1" x14ac:dyDescent="0.2">
      <c r="B250" s="15"/>
      <c r="C250" s="15"/>
      <c r="D250" s="15"/>
      <c r="E250" s="15"/>
      <c r="F250" s="15"/>
      <c r="G250" s="15"/>
      <c r="H250" s="10"/>
      <c r="I250" s="10"/>
    </row>
    <row r="251" spans="2:9" hidden="1" x14ac:dyDescent="0.2">
      <c r="B251" s="15"/>
      <c r="C251" s="15"/>
      <c r="D251" s="15"/>
      <c r="E251" s="15"/>
      <c r="F251" s="15"/>
      <c r="G251" s="15"/>
      <c r="H251" s="10"/>
      <c r="I251" s="10"/>
    </row>
    <row r="252" spans="2:9" hidden="1" x14ac:dyDescent="0.2">
      <c r="B252" s="15"/>
      <c r="C252" s="15"/>
      <c r="D252" s="15"/>
      <c r="E252" s="15"/>
      <c r="F252" s="15"/>
      <c r="G252" s="15"/>
      <c r="H252" s="10"/>
      <c r="I252" s="10"/>
    </row>
    <row r="253" spans="2:9" hidden="1" x14ac:dyDescent="0.2">
      <c r="B253" s="15"/>
      <c r="C253" s="15"/>
      <c r="D253" s="15"/>
      <c r="E253" s="15"/>
      <c r="F253" s="15"/>
      <c r="G253" s="15"/>
      <c r="H253" s="10"/>
      <c r="I253" s="10"/>
    </row>
    <row r="254" spans="2:9" hidden="1" x14ac:dyDescent="0.2">
      <c r="B254" s="15"/>
      <c r="C254" s="15"/>
      <c r="D254" s="15"/>
      <c r="E254" s="15"/>
      <c r="F254" s="15"/>
      <c r="G254" s="15"/>
      <c r="H254" s="10"/>
      <c r="I254" s="10"/>
    </row>
    <row r="255" spans="2:9" hidden="1" x14ac:dyDescent="0.2">
      <c r="B255" s="15"/>
      <c r="C255" s="15"/>
      <c r="D255" s="15"/>
      <c r="E255" s="15"/>
      <c r="F255" s="15"/>
      <c r="G255" s="15"/>
      <c r="H255" s="10"/>
      <c r="I255" s="10"/>
    </row>
    <row r="256" spans="2:9" hidden="1" x14ac:dyDescent="0.2">
      <c r="B256" s="15"/>
      <c r="C256" s="15"/>
      <c r="D256" s="15"/>
      <c r="E256" s="15"/>
      <c r="F256" s="15"/>
      <c r="G256" s="15"/>
      <c r="H256" s="10"/>
      <c r="I256" s="10"/>
    </row>
    <row r="257" spans="2:9" hidden="1" x14ac:dyDescent="0.2">
      <c r="B257" s="15"/>
      <c r="C257" s="15"/>
      <c r="D257" s="15"/>
      <c r="E257" s="15"/>
      <c r="F257" s="15"/>
      <c r="G257" s="15"/>
      <c r="H257" s="10"/>
      <c r="I257" s="10"/>
    </row>
    <row r="258" spans="2:9" hidden="1" x14ac:dyDescent="0.2">
      <c r="B258" s="15"/>
      <c r="C258" s="15"/>
      <c r="D258" s="15"/>
      <c r="E258" s="15"/>
      <c r="F258" s="15"/>
      <c r="G258" s="15"/>
      <c r="H258" s="10"/>
      <c r="I258" s="10"/>
    </row>
    <row r="259" spans="2:9" hidden="1" x14ac:dyDescent="0.2">
      <c r="B259" s="15"/>
      <c r="C259" s="15"/>
      <c r="D259" s="15"/>
      <c r="E259" s="15"/>
      <c r="F259" s="15"/>
      <c r="G259" s="15"/>
      <c r="H259" s="10"/>
      <c r="I259" s="10"/>
    </row>
    <row r="260" spans="2:9" hidden="1" x14ac:dyDescent="0.2">
      <c r="B260" s="15"/>
      <c r="C260" s="15"/>
      <c r="D260" s="15"/>
      <c r="E260" s="15"/>
      <c r="F260" s="15"/>
      <c r="G260" s="15"/>
      <c r="H260" s="10"/>
      <c r="I260" s="10"/>
    </row>
    <row r="261" spans="2:9" hidden="1" x14ac:dyDescent="0.2">
      <c r="B261" s="15"/>
      <c r="C261" s="15"/>
      <c r="D261" s="15"/>
      <c r="E261" s="15"/>
      <c r="F261" s="15"/>
      <c r="G261" s="15"/>
      <c r="H261" s="10"/>
      <c r="I261" s="10"/>
    </row>
    <row r="262" spans="2:9" hidden="1" x14ac:dyDescent="0.2">
      <c r="B262" s="15"/>
      <c r="C262" s="15"/>
      <c r="D262" s="15"/>
      <c r="E262" s="15"/>
      <c r="F262" s="15"/>
      <c r="G262" s="15"/>
      <c r="H262" s="10"/>
      <c r="I262" s="10"/>
    </row>
    <row r="263" spans="2:9" hidden="1" x14ac:dyDescent="0.2">
      <c r="B263" s="15"/>
      <c r="C263" s="15"/>
      <c r="D263" s="15"/>
      <c r="E263" s="15"/>
      <c r="F263" s="15"/>
      <c r="G263" s="15"/>
      <c r="H263" s="10"/>
      <c r="I263" s="10"/>
    </row>
    <row r="264" spans="2:9" hidden="1" x14ac:dyDescent="0.2">
      <c r="B264" s="15"/>
      <c r="C264" s="15"/>
      <c r="D264" s="15"/>
      <c r="E264" s="15"/>
      <c r="F264" s="15"/>
      <c r="G264" s="15"/>
      <c r="H264" s="10"/>
      <c r="I264" s="10"/>
    </row>
    <row r="265" spans="2:9" hidden="1" x14ac:dyDescent="0.2">
      <c r="B265" s="15"/>
      <c r="C265" s="15"/>
      <c r="D265" s="15"/>
      <c r="E265" s="15"/>
      <c r="F265" s="15"/>
      <c r="G265" s="15"/>
      <c r="H265" s="10"/>
      <c r="I265" s="10"/>
    </row>
    <row r="266" spans="2:9" hidden="1" x14ac:dyDescent="0.2">
      <c r="B266" s="15"/>
      <c r="C266" s="15"/>
      <c r="D266" s="15"/>
      <c r="E266" s="15"/>
      <c r="F266" s="15"/>
      <c r="G266" s="15"/>
      <c r="H266" s="10"/>
      <c r="I266" s="10"/>
    </row>
    <row r="267" spans="2:9" hidden="1" x14ac:dyDescent="0.2">
      <c r="B267" s="15"/>
      <c r="C267" s="15"/>
      <c r="D267" s="15"/>
      <c r="E267" s="15"/>
      <c r="F267" s="15"/>
      <c r="G267" s="15"/>
      <c r="H267" s="10"/>
      <c r="I267" s="10"/>
    </row>
    <row r="268" spans="2:9" hidden="1" x14ac:dyDescent="0.2">
      <c r="B268" s="15"/>
      <c r="C268" s="15"/>
      <c r="D268" s="15"/>
      <c r="E268" s="15"/>
      <c r="F268" s="15"/>
      <c r="G268" s="15"/>
      <c r="H268" s="10"/>
      <c r="I268" s="10"/>
    </row>
    <row r="269" spans="2:9" hidden="1" x14ac:dyDescent="0.2">
      <c r="B269" s="15"/>
      <c r="C269" s="15"/>
      <c r="D269" s="15"/>
      <c r="E269" s="15"/>
      <c r="F269" s="15"/>
      <c r="G269" s="15"/>
      <c r="H269" s="10"/>
      <c r="I269" s="10"/>
    </row>
    <row r="270" spans="2:9" hidden="1" x14ac:dyDescent="0.2">
      <c r="B270" s="15"/>
      <c r="C270" s="15"/>
      <c r="D270" s="15"/>
      <c r="E270" s="15"/>
      <c r="F270" s="15"/>
      <c r="G270" s="15"/>
      <c r="H270" s="10"/>
      <c r="I270" s="10"/>
    </row>
    <row r="271" spans="2:9" hidden="1" x14ac:dyDescent="0.2">
      <c r="B271" s="15"/>
      <c r="C271" s="15"/>
      <c r="D271" s="15"/>
      <c r="E271" s="15"/>
      <c r="F271" s="15"/>
      <c r="G271" s="15"/>
      <c r="H271" s="10"/>
      <c r="I271" s="10"/>
    </row>
    <row r="272" spans="2:9" hidden="1" x14ac:dyDescent="0.2">
      <c r="B272" s="15"/>
      <c r="C272" s="15"/>
      <c r="D272" s="15"/>
      <c r="E272" s="15"/>
      <c r="F272" s="15"/>
      <c r="G272" s="15"/>
      <c r="H272" s="10"/>
      <c r="I272" s="10"/>
    </row>
    <row r="273" spans="2:9" hidden="1" x14ac:dyDescent="0.2">
      <c r="B273" s="15"/>
      <c r="C273" s="15"/>
      <c r="D273" s="15"/>
      <c r="E273" s="15"/>
      <c r="F273" s="15"/>
      <c r="G273" s="15"/>
      <c r="H273" s="10"/>
      <c r="I273" s="10"/>
    </row>
    <row r="274" spans="2:9" hidden="1" x14ac:dyDescent="0.2">
      <c r="B274" s="15"/>
      <c r="C274" s="15"/>
      <c r="D274" s="15"/>
      <c r="E274" s="15"/>
      <c r="F274" s="15"/>
      <c r="G274" s="15"/>
      <c r="H274" s="10"/>
      <c r="I274" s="10"/>
    </row>
    <row r="275" spans="2:9" hidden="1" x14ac:dyDescent="0.2">
      <c r="B275" s="15"/>
      <c r="C275" s="15"/>
      <c r="D275" s="15"/>
      <c r="E275" s="15"/>
      <c r="F275" s="15"/>
      <c r="G275" s="15"/>
      <c r="H275" s="10"/>
      <c r="I275" s="10"/>
    </row>
    <row r="276" spans="2:9" hidden="1" x14ac:dyDescent="0.2">
      <c r="B276" s="15"/>
      <c r="C276" s="15"/>
      <c r="D276" s="15"/>
      <c r="E276" s="15"/>
      <c r="F276" s="15"/>
      <c r="G276" s="15"/>
      <c r="H276" s="10"/>
      <c r="I276" s="10"/>
    </row>
    <row r="277" spans="2:9" hidden="1" x14ac:dyDescent="0.2">
      <c r="B277" s="15"/>
      <c r="C277" s="15"/>
      <c r="D277" s="15"/>
      <c r="E277" s="15"/>
      <c r="F277" s="15"/>
      <c r="G277" s="15"/>
      <c r="H277" s="10"/>
      <c r="I277" s="10"/>
    </row>
    <row r="278" spans="2:9" hidden="1" x14ac:dyDescent="0.2">
      <c r="B278" s="15"/>
      <c r="C278" s="15"/>
      <c r="D278" s="15"/>
      <c r="E278" s="15"/>
      <c r="F278" s="15"/>
      <c r="G278" s="15"/>
      <c r="H278" s="10"/>
      <c r="I278" s="10"/>
    </row>
    <row r="279" spans="2:9" hidden="1" x14ac:dyDescent="0.2">
      <c r="B279" s="15"/>
      <c r="C279" s="15"/>
      <c r="D279" s="15"/>
      <c r="E279" s="15"/>
      <c r="F279" s="15"/>
      <c r="G279" s="15"/>
      <c r="H279" s="10"/>
      <c r="I279" s="10"/>
    </row>
    <row r="280" spans="2:9" hidden="1" x14ac:dyDescent="0.2">
      <c r="B280" s="15"/>
      <c r="C280" s="15"/>
      <c r="D280" s="15"/>
      <c r="E280" s="15"/>
      <c r="F280" s="15"/>
      <c r="G280" s="15"/>
      <c r="H280" s="10"/>
      <c r="I280" s="10"/>
    </row>
    <row r="281" spans="2:9" hidden="1" x14ac:dyDescent="0.2">
      <c r="B281" s="15"/>
      <c r="C281" s="15"/>
      <c r="D281" s="15"/>
      <c r="E281" s="15"/>
      <c r="F281" s="15"/>
      <c r="G281" s="15"/>
      <c r="H281" s="10"/>
      <c r="I281" s="10"/>
    </row>
    <row r="282" spans="2:9" hidden="1" x14ac:dyDescent="0.2">
      <c r="B282" s="15"/>
      <c r="C282" s="15"/>
      <c r="D282" s="15"/>
      <c r="E282" s="15"/>
      <c r="F282" s="15"/>
      <c r="G282" s="15"/>
      <c r="H282" s="10"/>
      <c r="I282" s="10"/>
    </row>
    <row r="283" spans="2:9" hidden="1" x14ac:dyDescent="0.2">
      <c r="B283" s="15"/>
      <c r="C283" s="15"/>
      <c r="D283" s="15"/>
      <c r="E283" s="15"/>
      <c r="F283" s="15"/>
      <c r="G283" s="15"/>
      <c r="H283" s="10"/>
      <c r="I283" s="10"/>
    </row>
    <row r="284" spans="2:9" hidden="1" x14ac:dyDescent="0.2">
      <c r="B284" s="15"/>
      <c r="C284" s="15"/>
      <c r="D284" s="15"/>
      <c r="E284" s="15"/>
      <c r="F284" s="15"/>
      <c r="G284" s="15"/>
      <c r="H284" s="10"/>
      <c r="I284" s="10"/>
    </row>
    <row r="285" spans="2:9" hidden="1" x14ac:dyDescent="0.2">
      <c r="B285" s="15"/>
      <c r="C285" s="15"/>
      <c r="D285" s="15"/>
      <c r="E285" s="15"/>
      <c r="F285" s="15"/>
      <c r="G285" s="15"/>
      <c r="H285" s="10"/>
      <c r="I285" s="10"/>
    </row>
    <row r="286" spans="2:9" hidden="1" x14ac:dyDescent="0.2">
      <c r="B286" s="15"/>
      <c r="C286" s="15"/>
      <c r="D286" s="15"/>
      <c r="E286" s="15"/>
      <c r="F286" s="15"/>
      <c r="G286" s="15"/>
      <c r="H286" s="10"/>
      <c r="I286" s="10"/>
    </row>
    <row r="287" spans="2:9" hidden="1" x14ac:dyDescent="0.2">
      <c r="B287" s="15"/>
      <c r="C287" s="15"/>
      <c r="D287" s="15"/>
      <c r="E287" s="15"/>
      <c r="F287" s="15"/>
      <c r="G287" s="15"/>
      <c r="H287" s="10"/>
      <c r="I287" s="10"/>
    </row>
    <row r="288" spans="2:9" hidden="1" x14ac:dyDescent="0.2">
      <c r="B288" s="15"/>
      <c r="C288" s="15"/>
      <c r="D288" s="15"/>
      <c r="E288" s="15"/>
      <c r="F288" s="15"/>
      <c r="G288" s="15"/>
      <c r="H288" s="10"/>
      <c r="I288" s="10"/>
    </row>
    <row r="289" spans="2:9" hidden="1" x14ac:dyDescent="0.2">
      <c r="B289" s="15"/>
      <c r="C289" s="15"/>
      <c r="D289" s="15"/>
      <c r="E289" s="15"/>
      <c r="F289" s="15"/>
      <c r="G289" s="15"/>
      <c r="H289" s="10"/>
      <c r="I289" s="10"/>
    </row>
    <row r="290" spans="2:9" hidden="1" x14ac:dyDescent="0.2">
      <c r="B290" s="15"/>
      <c r="C290" s="15"/>
      <c r="D290" s="15"/>
      <c r="E290" s="15"/>
      <c r="F290" s="15"/>
      <c r="G290" s="15"/>
      <c r="H290" s="10"/>
      <c r="I290" s="10"/>
    </row>
    <row r="291" spans="2:9" hidden="1" x14ac:dyDescent="0.2">
      <c r="B291" s="15"/>
      <c r="C291" s="15"/>
      <c r="D291" s="15"/>
      <c r="E291" s="15"/>
      <c r="F291" s="15"/>
      <c r="G291" s="15"/>
      <c r="H291" s="10"/>
      <c r="I291" s="10"/>
    </row>
    <row r="292" spans="2:9" hidden="1" x14ac:dyDescent="0.2">
      <c r="B292" s="15"/>
      <c r="C292" s="15"/>
      <c r="D292" s="15"/>
      <c r="E292" s="15"/>
      <c r="F292" s="15"/>
      <c r="G292" s="15"/>
      <c r="H292" s="10"/>
      <c r="I292" s="10"/>
    </row>
    <row r="293" spans="2:9" hidden="1" x14ac:dyDescent="0.2">
      <c r="B293" s="15"/>
      <c r="C293" s="15"/>
      <c r="D293" s="15"/>
      <c r="E293" s="15"/>
      <c r="F293" s="15"/>
      <c r="G293" s="15"/>
      <c r="H293" s="10"/>
      <c r="I293" s="10"/>
    </row>
    <row r="294" spans="2:9" hidden="1" x14ac:dyDescent="0.2">
      <c r="B294" s="15"/>
      <c r="C294" s="15"/>
      <c r="D294" s="15"/>
      <c r="E294" s="15"/>
      <c r="F294" s="15"/>
      <c r="G294" s="15"/>
      <c r="H294" s="10"/>
      <c r="I294" s="10"/>
    </row>
    <row r="295" spans="2:9" hidden="1" x14ac:dyDescent="0.2">
      <c r="B295" s="15"/>
      <c r="C295" s="15"/>
      <c r="D295" s="15"/>
      <c r="E295" s="15"/>
      <c r="F295" s="15"/>
      <c r="G295" s="15"/>
      <c r="H295" s="10"/>
      <c r="I295" s="10"/>
    </row>
    <row r="296" spans="2:9" hidden="1" x14ac:dyDescent="0.2">
      <c r="B296" s="15"/>
      <c r="C296" s="15"/>
      <c r="D296" s="15"/>
      <c r="E296" s="15"/>
      <c r="F296" s="15"/>
      <c r="G296" s="15"/>
      <c r="H296" s="10"/>
      <c r="I296" s="10"/>
    </row>
    <row r="297" spans="2:9" hidden="1" x14ac:dyDescent="0.2">
      <c r="B297" s="15"/>
      <c r="C297" s="15"/>
      <c r="D297" s="15"/>
      <c r="E297" s="15"/>
      <c r="F297" s="15"/>
      <c r="G297" s="15"/>
      <c r="H297" s="10"/>
      <c r="I297" s="10"/>
    </row>
    <row r="298" spans="2:9" hidden="1" x14ac:dyDescent="0.2">
      <c r="B298" s="15"/>
      <c r="C298" s="15"/>
      <c r="D298" s="15"/>
      <c r="E298" s="15"/>
      <c r="F298" s="15"/>
      <c r="G298" s="15"/>
      <c r="H298" s="10"/>
      <c r="I298" s="10"/>
    </row>
    <row r="299" spans="2:9" hidden="1" x14ac:dyDescent="0.2">
      <c r="B299" s="15"/>
      <c r="C299" s="15"/>
      <c r="D299" s="15"/>
      <c r="E299" s="15"/>
      <c r="F299" s="15"/>
      <c r="G299" s="15"/>
      <c r="H299" s="10"/>
      <c r="I299" s="10"/>
    </row>
    <row r="300" spans="2:9" hidden="1" x14ac:dyDescent="0.2">
      <c r="B300" s="15"/>
      <c r="C300" s="15"/>
      <c r="D300" s="15"/>
      <c r="E300" s="15"/>
      <c r="F300" s="15"/>
      <c r="G300" s="15"/>
      <c r="H300" s="10"/>
      <c r="I300" s="10"/>
    </row>
    <row r="301" spans="2:9" hidden="1" x14ac:dyDescent="0.2">
      <c r="B301" s="15"/>
      <c r="C301" s="15"/>
      <c r="D301" s="15"/>
      <c r="E301" s="15"/>
      <c r="F301" s="15"/>
      <c r="G301" s="15"/>
      <c r="H301" s="10"/>
      <c r="I301" s="10"/>
    </row>
    <row r="302" spans="2:9" hidden="1" x14ac:dyDescent="0.2">
      <c r="B302" s="15"/>
      <c r="C302" s="15"/>
      <c r="D302" s="15"/>
      <c r="E302" s="15"/>
      <c r="F302" s="15"/>
      <c r="G302" s="15"/>
      <c r="H302" s="10"/>
      <c r="I302" s="10"/>
    </row>
    <row r="303" spans="2:9" hidden="1" x14ac:dyDescent="0.2">
      <c r="B303" s="15"/>
      <c r="C303" s="15"/>
      <c r="D303" s="15"/>
      <c r="E303" s="15"/>
      <c r="F303" s="15"/>
      <c r="G303" s="15"/>
      <c r="H303" s="10"/>
      <c r="I303" s="10"/>
    </row>
    <row r="304" spans="2:9" hidden="1" x14ac:dyDescent="0.2">
      <c r="B304" s="15"/>
      <c r="C304" s="15"/>
      <c r="D304" s="15"/>
      <c r="E304" s="15"/>
      <c r="F304" s="15"/>
      <c r="G304" s="15"/>
      <c r="H304" s="10"/>
      <c r="I304" s="10"/>
    </row>
    <row r="305" spans="2:9" hidden="1" x14ac:dyDescent="0.2">
      <c r="B305" s="15"/>
      <c r="C305" s="15"/>
      <c r="D305" s="15"/>
      <c r="E305" s="15"/>
      <c r="F305" s="15"/>
      <c r="G305" s="15"/>
      <c r="H305" s="10"/>
      <c r="I305" s="10"/>
    </row>
    <row r="306" spans="2:9" hidden="1" x14ac:dyDescent="0.2">
      <c r="B306" s="15"/>
      <c r="C306" s="15"/>
      <c r="D306" s="15"/>
      <c r="E306" s="15"/>
      <c r="F306" s="15"/>
      <c r="G306" s="15"/>
      <c r="H306" s="10"/>
      <c r="I306" s="10"/>
    </row>
    <row r="307" spans="2:9" hidden="1" x14ac:dyDescent="0.2">
      <c r="B307" s="15"/>
      <c r="C307" s="15"/>
      <c r="D307" s="15"/>
      <c r="E307" s="15"/>
      <c r="F307" s="15"/>
      <c r="G307" s="15"/>
      <c r="H307" s="10"/>
      <c r="I307" s="10"/>
    </row>
    <row r="308" spans="2:9" hidden="1" x14ac:dyDescent="0.2">
      <c r="B308" s="15"/>
      <c r="C308" s="15"/>
      <c r="D308" s="15"/>
      <c r="E308" s="15"/>
      <c r="F308" s="15"/>
      <c r="G308" s="15"/>
      <c r="H308" s="10"/>
      <c r="I308" s="10"/>
    </row>
    <row r="309" spans="2:9" hidden="1" x14ac:dyDescent="0.2">
      <c r="B309" s="15"/>
      <c r="C309" s="15"/>
      <c r="D309" s="15"/>
      <c r="E309" s="15"/>
      <c r="F309" s="15"/>
      <c r="G309" s="15"/>
      <c r="H309" s="10"/>
      <c r="I309" s="10"/>
    </row>
    <row r="310" spans="2:9" hidden="1" x14ac:dyDescent="0.2">
      <c r="B310" s="15"/>
      <c r="C310" s="15"/>
      <c r="D310" s="15"/>
      <c r="E310" s="15"/>
      <c r="F310" s="15"/>
      <c r="G310" s="15"/>
      <c r="H310" s="10"/>
      <c r="I310" s="10"/>
    </row>
    <row r="311" spans="2:9" hidden="1" x14ac:dyDescent="0.2">
      <c r="B311" s="15"/>
      <c r="C311" s="15"/>
      <c r="D311" s="15"/>
      <c r="E311" s="15"/>
      <c r="F311" s="15"/>
      <c r="G311" s="15"/>
      <c r="H311" s="10"/>
      <c r="I311" s="10"/>
    </row>
    <row r="312" spans="2:9" hidden="1" x14ac:dyDescent="0.2">
      <c r="B312" s="15"/>
      <c r="C312" s="15"/>
      <c r="D312" s="15"/>
      <c r="E312" s="15"/>
      <c r="F312" s="15"/>
      <c r="G312" s="15"/>
      <c r="H312" s="10"/>
      <c r="I312" s="10"/>
    </row>
    <row r="313" spans="2:9" hidden="1" x14ac:dyDescent="0.2">
      <c r="B313" s="15"/>
      <c r="C313" s="15"/>
      <c r="D313" s="15"/>
      <c r="E313" s="15"/>
      <c r="F313" s="15"/>
      <c r="G313" s="15"/>
      <c r="H313" s="10"/>
      <c r="I313" s="10"/>
    </row>
    <row r="314" spans="2:9" hidden="1" x14ac:dyDescent="0.2">
      <c r="B314" s="15"/>
      <c r="C314" s="15"/>
      <c r="D314" s="15"/>
      <c r="E314" s="15"/>
      <c r="F314" s="15"/>
      <c r="G314" s="15"/>
      <c r="H314" s="10"/>
      <c r="I314" s="10"/>
    </row>
    <row r="315" spans="2:9" hidden="1" x14ac:dyDescent="0.2">
      <c r="B315" s="15"/>
      <c r="C315" s="15"/>
      <c r="D315" s="15"/>
      <c r="E315" s="15"/>
      <c r="F315" s="15"/>
      <c r="G315" s="15"/>
      <c r="H315" s="10"/>
      <c r="I315" s="10"/>
    </row>
    <row r="316" spans="2:9" hidden="1" x14ac:dyDescent="0.2">
      <c r="B316" s="15"/>
      <c r="C316" s="15"/>
      <c r="D316" s="15"/>
      <c r="E316" s="15"/>
      <c r="F316" s="15"/>
      <c r="G316" s="15"/>
      <c r="H316" s="10"/>
      <c r="I316" s="10"/>
    </row>
    <row r="317" spans="2:9" hidden="1" x14ac:dyDescent="0.2">
      <c r="B317" s="15"/>
      <c r="C317" s="15"/>
      <c r="D317" s="15"/>
      <c r="E317" s="15"/>
      <c r="F317" s="15"/>
      <c r="G317" s="15"/>
      <c r="H317" s="10"/>
      <c r="I317" s="10"/>
    </row>
    <row r="318" spans="2:9" hidden="1" x14ac:dyDescent="0.2">
      <c r="B318" s="15"/>
      <c r="C318" s="15"/>
      <c r="D318" s="15"/>
      <c r="E318" s="15"/>
      <c r="F318" s="15"/>
      <c r="G318" s="15"/>
      <c r="H318" s="10"/>
      <c r="I318" s="10"/>
    </row>
    <row r="319" spans="2:9" hidden="1" x14ac:dyDescent="0.2">
      <c r="B319" s="15"/>
      <c r="C319" s="15"/>
      <c r="D319" s="15"/>
      <c r="E319" s="15"/>
      <c r="F319" s="15"/>
      <c r="G319" s="15"/>
      <c r="H319" s="10"/>
      <c r="I319" s="10"/>
    </row>
    <row r="320" spans="2:9" hidden="1" x14ac:dyDescent="0.2">
      <c r="B320" s="15"/>
      <c r="C320" s="15"/>
      <c r="D320" s="15"/>
      <c r="E320" s="15"/>
      <c r="F320" s="15"/>
      <c r="G320" s="15"/>
      <c r="H320" s="10"/>
      <c r="I320" s="10"/>
    </row>
    <row r="321" spans="2:9" hidden="1" x14ac:dyDescent="0.2">
      <c r="B321" s="15"/>
      <c r="C321" s="15"/>
      <c r="D321" s="15"/>
      <c r="E321" s="15"/>
      <c r="F321" s="15"/>
      <c r="G321" s="15"/>
      <c r="H321" s="10"/>
      <c r="I321" s="10"/>
    </row>
    <row r="322" spans="2:9" hidden="1" x14ac:dyDescent="0.2">
      <c r="B322" s="15"/>
      <c r="C322" s="15"/>
      <c r="D322" s="15"/>
      <c r="E322" s="15"/>
      <c r="F322" s="15"/>
      <c r="G322" s="15"/>
      <c r="H322" s="10"/>
      <c r="I322" s="10"/>
    </row>
    <row r="323" spans="2:9" hidden="1" x14ac:dyDescent="0.2">
      <c r="B323" s="15"/>
      <c r="C323" s="15"/>
      <c r="D323" s="15"/>
      <c r="E323" s="15"/>
      <c r="F323" s="15"/>
      <c r="G323" s="15"/>
      <c r="H323" s="10"/>
      <c r="I323" s="10"/>
    </row>
    <row r="324" spans="2:9" hidden="1" x14ac:dyDescent="0.2">
      <c r="B324" s="15"/>
      <c r="C324" s="15"/>
      <c r="D324" s="15"/>
      <c r="E324" s="15"/>
      <c r="F324" s="15"/>
      <c r="G324" s="15"/>
      <c r="H324" s="10"/>
      <c r="I324" s="10"/>
    </row>
    <row r="325" spans="2:9" hidden="1" x14ac:dyDescent="0.2">
      <c r="B325" s="15"/>
      <c r="C325" s="15"/>
      <c r="D325" s="15"/>
      <c r="E325" s="15"/>
      <c r="F325" s="15"/>
      <c r="G325" s="15"/>
      <c r="H325" s="10"/>
      <c r="I325" s="10"/>
    </row>
    <row r="326" spans="2:9" hidden="1" x14ac:dyDescent="0.2">
      <c r="B326" s="15"/>
      <c r="C326" s="15"/>
      <c r="D326" s="15"/>
      <c r="E326" s="15"/>
      <c r="F326" s="15"/>
      <c r="G326" s="15"/>
      <c r="H326" s="10"/>
      <c r="I326" s="10"/>
    </row>
    <row r="327" spans="2:9" hidden="1" x14ac:dyDescent="0.2">
      <c r="B327" s="15"/>
      <c r="C327" s="15"/>
      <c r="D327" s="15"/>
      <c r="E327" s="15"/>
      <c r="F327" s="15"/>
      <c r="G327" s="15"/>
      <c r="H327" s="10"/>
      <c r="I327" s="10"/>
    </row>
    <row r="328" spans="2:9" hidden="1" x14ac:dyDescent="0.2">
      <c r="B328" s="15"/>
      <c r="C328" s="15"/>
      <c r="D328" s="15"/>
      <c r="E328" s="15"/>
      <c r="F328" s="15"/>
      <c r="G328" s="15"/>
      <c r="H328" s="10"/>
      <c r="I328" s="10"/>
    </row>
    <row r="329" spans="2:9" hidden="1" x14ac:dyDescent="0.2">
      <c r="B329" s="15"/>
      <c r="C329" s="15"/>
      <c r="D329" s="15"/>
      <c r="E329" s="15"/>
      <c r="F329" s="15"/>
      <c r="G329" s="15"/>
      <c r="H329" s="10"/>
      <c r="I329" s="10"/>
    </row>
    <row r="330" spans="2:9" hidden="1" x14ac:dyDescent="0.2">
      <c r="B330" s="15"/>
      <c r="C330" s="15"/>
      <c r="D330" s="15"/>
      <c r="E330" s="15"/>
      <c r="F330" s="15"/>
      <c r="G330" s="15"/>
      <c r="H330" s="10"/>
      <c r="I330" s="10"/>
    </row>
    <row r="331" spans="2:9" hidden="1" x14ac:dyDescent="0.2">
      <c r="B331" s="15"/>
      <c r="C331" s="15"/>
      <c r="D331" s="15"/>
      <c r="E331" s="15"/>
      <c r="F331" s="15"/>
      <c r="G331" s="15"/>
      <c r="H331" s="10"/>
      <c r="I331" s="10"/>
    </row>
    <row r="332" spans="2:9" hidden="1" x14ac:dyDescent="0.2">
      <c r="B332" s="15"/>
      <c r="C332" s="15"/>
      <c r="D332" s="15"/>
      <c r="E332" s="15"/>
      <c r="F332" s="15"/>
      <c r="G332" s="15"/>
      <c r="H332" s="10"/>
      <c r="I332" s="10"/>
    </row>
    <row r="333" spans="2:9" hidden="1" x14ac:dyDescent="0.2">
      <c r="B333" s="15"/>
      <c r="C333" s="15"/>
      <c r="D333" s="15"/>
      <c r="E333" s="15"/>
      <c r="F333" s="15"/>
      <c r="G333" s="15"/>
      <c r="H333" s="10"/>
      <c r="I333" s="10"/>
    </row>
    <row r="334" spans="2:9" hidden="1" x14ac:dyDescent="0.2">
      <c r="B334" s="15"/>
      <c r="C334" s="15"/>
      <c r="D334" s="15"/>
      <c r="E334" s="15"/>
      <c r="F334" s="15"/>
      <c r="G334" s="15"/>
      <c r="H334" s="10"/>
      <c r="I334" s="10"/>
    </row>
    <row r="335" spans="2:9" hidden="1" x14ac:dyDescent="0.2">
      <c r="B335" s="15"/>
      <c r="C335" s="15"/>
      <c r="D335" s="15"/>
      <c r="E335" s="15"/>
      <c r="F335" s="15"/>
      <c r="G335" s="15"/>
      <c r="H335" s="10"/>
      <c r="I335" s="10"/>
    </row>
    <row r="336" spans="2:9" hidden="1" x14ac:dyDescent="0.2">
      <c r="B336" s="15"/>
      <c r="C336" s="15"/>
      <c r="D336" s="15"/>
      <c r="E336" s="15"/>
      <c r="F336" s="15"/>
      <c r="G336" s="15"/>
      <c r="H336" s="10"/>
      <c r="I336" s="10"/>
    </row>
    <row r="337" spans="2:9" hidden="1" x14ac:dyDescent="0.2">
      <c r="B337" s="15"/>
      <c r="C337" s="15"/>
      <c r="D337" s="15"/>
      <c r="E337" s="15"/>
      <c r="F337" s="15"/>
      <c r="G337" s="15"/>
      <c r="H337" s="10"/>
      <c r="I337" s="10"/>
    </row>
    <row r="338" spans="2:9" hidden="1" x14ac:dyDescent="0.2">
      <c r="B338" s="15"/>
      <c r="C338" s="15"/>
      <c r="D338" s="15"/>
      <c r="E338" s="15"/>
      <c r="F338" s="15"/>
      <c r="G338" s="15"/>
      <c r="H338" s="10"/>
      <c r="I338" s="10"/>
    </row>
    <row r="339" spans="2:9" hidden="1" x14ac:dyDescent="0.2">
      <c r="B339" s="15"/>
      <c r="C339" s="15"/>
      <c r="D339" s="15"/>
      <c r="E339" s="15"/>
      <c r="F339" s="15"/>
      <c r="G339" s="15"/>
      <c r="H339" s="10"/>
      <c r="I339" s="10"/>
    </row>
    <row r="340" spans="2:9" hidden="1" x14ac:dyDescent="0.2">
      <c r="B340" s="15"/>
      <c r="C340" s="15"/>
      <c r="D340" s="15"/>
      <c r="E340" s="15"/>
      <c r="F340" s="15"/>
      <c r="G340" s="15"/>
      <c r="H340" s="10"/>
      <c r="I340" s="10"/>
    </row>
    <row r="341" spans="2:9" hidden="1" x14ac:dyDescent="0.2">
      <c r="B341" s="15"/>
      <c r="C341" s="15"/>
      <c r="D341" s="15"/>
      <c r="E341" s="15"/>
      <c r="F341" s="15"/>
      <c r="G341" s="15"/>
      <c r="H341" s="10"/>
      <c r="I341" s="10"/>
    </row>
    <row r="342" spans="2:9" hidden="1" x14ac:dyDescent="0.2">
      <c r="B342" s="15"/>
      <c r="C342" s="15"/>
      <c r="D342" s="15"/>
      <c r="E342" s="15"/>
      <c r="F342" s="15"/>
      <c r="G342" s="15"/>
      <c r="H342" s="10"/>
      <c r="I342" s="10"/>
    </row>
    <row r="343" spans="2:9" hidden="1" x14ac:dyDescent="0.2">
      <c r="B343" s="15"/>
      <c r="C343" s="15"/>
      <c r="D343" s="15"/>
      <c r="E343" s="15"/>
      <c r="F343" s="15"/>
      <c r="G343" s="15"/>
      <c r="H343" s="10"/>
      <c r="I343" s="10"/>
    </row>
    <row r="344" spans="2:9" hidden="1" x14ac:dyDescent="0.2">
      <c r="B344" s="15"/>
      <c r="C344" s="15"/>
      <c r="D344" s="15"/>
      <c r="E344" s="15"/>
      <c r="F344" s="15"/>
      <c r="G344" s="15"/>
      <c r="H344" s="10"/>
      <c r="I344" s="10"/>
    </row>
    <row r="345" spans="2:9" hidden="1" x14ac:dyDescent="0.2">
      <c r="B345" s="15"/>
      <c r="C345" s="15"/>
      <c r="D345" s="15"/>
      <c r="E345" s="15"/>
      <c r="F345" s="15"/>
      <c r="G345" s="15"/>
      <c r="H345" s="10"/>
      <c r="I345" s="10"/>
    </row>
    <row r="346" spans="2:9" hidden="1" x14ac:dyDescent="0.2">
      <c r="B346" s="15"/>
      <c r="C346" s="15"/>
      <c r="D346" s="15"/>
      <c r="E346" s="15"/>
      <c r="F346" s="15"/>
      <c r="G346" s="15"/>
      <c r="H346" s="10"/>
      <c r="I346" s="10"/>
    </row>
    <row r="347" spans="2:9" hidden="1" x14ac:dyDescent="0.2">
      <c r="B347" s="15"/>
      <c r="C347" s="15"/>
      <c r="D347" s="15"/>
      <c r="E347" s="15"/>
      <c r="F347" s="15"/>
      <c r="G347" s="15"/>
      <c r="H347" s="10"/>
      <c r="I347" s="10"/>
    </row>
    <row r="348" spans="2:9" hidden="1" x14ac:dyDescent="0.2">
      <c r="B348" s="15"/>
      <c r="C348" s="15"/>
      <c r="D348" s="15"/>
      <c r="E348" s="15"/>
      <c r="F348" s="15"/>
      <c r="G348" s="15"/>
      <c r="H348" s="10"/>
      <c r="I348" s="10"/>
    </row>
    <row r="349" spans="2:9" hidden="1" x14ac:dyDescent="0.2">
      <c r="B349" s="15"/>
      <c r="C349" s="15"/>
      <c r="D349" s="15"/>
      <c r="E349" s="15"/>
      <c r="F349" s="15"/>
      <c r="G349" s="15"/>
      <c r="H349" s="10"/>
      <c r="I349" s="10"/>
    </row>
    <row r="350" spans="2:9" hidden="1" x14ac:dyDescent="0.2">
      <c r="B350" s="15"/>
      <c r="C350" s="15"/>
      <c r="D350" s="15"/>
      <c r="E350" s="15"/>
      <c r="F350" s="15"/>
      <c r="G350" s="15"/>
      <c r="H350" s="10"/>
      <c r="I350" s="10"/>
    </row>
    <row r="351" spans="2:9" hidden="1" x14ac:dyDescent="0.2">
      <c r="B351" s="15"/>
      <c r="C351" s="15"/>
      <c r="D351" s="15"/>
      <c r="E351" s="15"/>
      <c r="F351" s="15"/>
      <c r="G351" s="15"/>
      <c r="H351" s="10"/>
      <c r="I351" s="10"/>
    </row>
    <row r="352" spans="2:9" hidden="1" x14ac:dyDescent="0.2">
      <c r="B352" s="15"/>
      <c r="C352" s="15"/>
      <c r="D352" s="15"/>
      <c r="E352" s="15"/>
      <c r="F352" s="15"/>
      <c r="G352" s="15"/>
      <c r="H352" s="10"/>
      <c r="I352" s="10"/>
    </row>
    <row r="353" spans="2:9" hidden="1" x14ac:dyDescent="0.2">
      <c r="B353" s="15"/>
      <c r="C353" s="15"/>
      <c r="D353" s="15"/>
      <c r="E353" s="15"/>
      <c r="F353" s="15"/>
      <c r="G353" s="15"/>
      <c r="H353" s="10"/>
      <c r="I353" s="10"/>
    </row>
    <row r="354" spans="2:9" hidden="1" x14ac:dyDescent="0.2">
      <c r="B354" s="15"/>
      <c r="C354" s="15"/>
      <c r="D354" s="15"/>
      <c r="E354" s="15"/>
      <c r="F354" s="15"/>
      <c r="G354" s="15"/>
      <c r="H354" s="10"/>
      <c r="I354" s="10"/>
    </row>
    <row r="355" spans="2:9" hidden="1" x14ac:dyDescent="0.2">
      <c r="B355" s="15"/>
      <c r="C355" s="15"/>
      <c r="D355" s="15"/>
      <c r="E355" s="15"/>
      <c r="F355" s="15"/>
      <c r="G355" s="15"/>
      <c r="H355" s="10"/>
      <c r="I355" s="10"/>
    </row>
    <row r="356" spans="2:9" hidden="1" x14ac:dyDescent="0.2">
      <c r="B356" s="15"/>
      <c r="C356" s="15"/>
      <c r="D356" s="15"/>
      <c r="E356" s="15"/>
      <c r="F356" s="15"/>
      <c r="G356" s="15"/>
      <c r="H356" s="10"/>
      <c r="I356" s="10"/>
    </row>
    <row r="357" spans="2:9" hidden="1" x14ac:dyDescent="0.2">
      <c r="B357" s="15"/>
      <c r="C357" s="15"/>
      <c r="D357" s="15"/>
      <c r="E357" s="15"/>
      <c r="F357" s="15"/>
      <c r="G357" s="15"/>
      <c r="H357" s="10"/>
      <c r="I357" s="10"/>
    </row>
    <row r="358" spans="2:9" hidden="1" x14ac:dyDescent="0.2">
      <c r="B358" s="15"/>
      <c r="C358" s="15"/>
      <c r="D358" s="15"/>
      <c r="E358" s="15"/>
      <c r="F358" s="15"/>
      <c r="G358" s="15"/>
      <c r="H358" s="10"/>
      <c r="I358" s="10"/>
    </row>
    <row r="359" spans="2:9" hidden="1" x14ac:dyDescent="0.2">
      <c r="B359" s="15"/>
      <c r="C359" s="15"/>
      <c r="D359" s="15"/>
      <c r="E359" s="15"/>
      <c r="F359" s="15"/>
      <c r="G359" s="15"/>
      <c r="H359" s="10"/>
      <c r="I359" s="10"/>
    </row>
    <row r="360" spans="2:9" hidden="1" x14ac:dyDescent="0.2">
      <c r="B360" s="15"/>
      <c r="C360" s="15"/>
      <c r="D360" s="15"/>
      <c r="E360" s="15"/>
      <c r="F360" s="15"/>
      <c r="G360" s="15"/>
      <c r="H360" s="10"/>
      <c r="I360" s="10"/>
    </row>
    <row r="361" spans="2:9" hidden="1" x14ac:dyDescent="0.2">
      <c r="B361" s="15"/>
      <c r="C361" s="15"/>
      <c r="D361" s="15"/>
      <c r="E361" s="15"/>
      <c r="F361" s="15"/>
      <c r="G361" s="15"/>
      <c r="H361" s="10"/>
      <c r="I361" s="10"/>
    </row>
    <row r="362" spans="2:9" hidden="1" x14ac:dyDescent="0.2">
      <c r="B362" s="15"/>
      <c r="C362" s="15"/>
      <c r="D362" s="15"/>
      <c r="E362" s="15"/>
      <c r="F362" s="15"/>
      <c r="G362" s="15"/>
      <c r="H362" s="10"/>
      <c r="I362" s="10"/>
    </row>
    <row r="363" spans="2:9" hidden="1" x14ac:dyDescent="0.2">
      <c r="B363" s="15"/>
      <c r="C363" s="15"/>
      <c r="D363" s="15"/>
      <c r="E363" s="15"/>
      <c r="F363" s="15"/>
      <c r="G363" s="15"/>
      <c r="H363" s="10"/>
      <c r="I363" s="10"/>
    </row>
    <row r="364" spans="2:9" hidden="1" x14ac:dyDescent="0.2">
      <c r="B364" s="15"/>
      <c r="C364" s="15"/>
      <c r="D364" s="15"/>
      <c r="E364" s="15"/>
      <c r="F364" s="15"/>
      <c r="G364" s="15"/>
      <c r="H364" s="10"/>
      <c r="I364" s="10"/>
    </row>
    <row r="365" spans="2:9" hidden="1" x14ac:dyDescent="0.2">
      <c r="B365" s="15"/>
      <c r="C365" s="15"/>
      <c r="D365" s="15"/>
      <c r="E365" s="15"/>
      <c r="F365" s="15"/>
      <c r="G365" s="15"/>
      <c r="H365" s="10"/>
      <c r="I365" s="10"/>
    </row>
    <row r="366" spans="2:9" hidden="1" x14ac:dyDescent="0.2">
      <c r="B366" s="15"/>
      <c r="C366" s="15"/>
      <c r="D366" s="15"/>
      <c r="E366" s="15"/>
      <c r="F366" s="15"/>
      <c r="G366" s="15"/>
      <c r="H366" s="10"/>
      <c r="I366" s="10"/>
    </row>
    <row r="367" spans="2:9" hidden="1" x14ac:dyDescent="0.2">
      <c r="B367" s="15"/>
      <c r="C367" s="15"/>
      <c r="D367" s="15"/>
      <c r="E367" s="15"/>
      <c r="F367" s="15"/>
      <c r="G367" s="15"/>
      <c r="H367" s="10"/>
      <c r="I367" s="10"/>
    </row>
    <row r="368" spans="2:9" hidden="1" x14ac:dyDescent="0.2">
      <c r="B368" s="15"/>
      <c r="C368" s="15"/>
      <c r="D368" s="15"/>
      <c r="E368" s="15"/>
      <c r="F368" s="15"/>
      <c r="G368" s="15"/>
      <c r="H368" s="10"/>
      <c r="I368" s="10"/>
    </row>
    <row r="369" spans="2:9" hidden="1" x14ac:dyDescent="0.2">
      <c r="B369" s="15"/>
      <c r="C369" s="15"/>
      <c r="D369" s="15"/>
      <c r="E369" s="15"/>
      <c r="F369" s="15"/>
      <c r="G369" s="15"/>
      <c r="H369" s="10"/>
      <c r="I369" s="10"/>
    </row>
    <row r="370" spans="2:9" hidden="1" x14ac:dyDescent="0.2">
      <c r="B370" s="15"/>
      <c r="C370" s="15"/>
      <c r="D370" s="15"/>
      <c r="E370" s="15"/>
      <c r="F370" s="15"/>
      <c r="G370" s="15"/>
      <c r="H370" s="10"/>
      <c r="I370" s="10"/>
    </row>
    <row r="371" spans="2:9" hidden="1" x14ac:dyDescent="0.2">
      <c r="B371" s="15"/>
      <c r="C371" s="15"/>
      <c r="D371" s="15"/>
      <c r="E371" s="15"/>
      <c r="F371" s="15"/>
      <c r="G371" s="15"/>
      <c r="H371" s="10"/>
      <c r="I371" s="10"/>
    </row>
    <row r="372" spans="2:9" hidden="1" x14ac:dyDescent="0.2">
      <c r="B372" s="15"/>
      <c r="C372" s="15"/>
      <c r="D372" s="15"/>
      <c r="E372" s="15"/>
      <c r="F372" s="15"/>
      <c r="G372" s="15"/>
      <c r="H372" s="10"/>
      <c r="I372" s="10"/>
    </row>
    <row r="373" spans="2:9" hidden="1" x14ac:dyDescent="0.2">
      <c r="B373" s="15"/>
      <c r="C373" s="15"/>
      <c r="D373" s="15"/>
      <c r="E373" s="15"/>
      <c r="F373" s="15"/>
      <c r="G373" s="15"/>
      <c r="H373" s="10"/>
      <c r="I373" s="10"/>
    </row>
    <row r="374" spans="2:9" hidden="1" x14ac:dyDescent="0.2">
      <c r="B374" s="15"/>
      <c r="C374" s="15"/>
      <c r="D374" s="15"/>
      <c r="E374" s="15"/>
      <c r="F374" s="15"/>
      <c r="G374" s="15"/>
      <c r="H374" s="10"/>
      <c r="I374" s="10"/>
    </row>
    <row r="375" spans="2:9" hidden="1" x14ac:dyDescent="0.2">
      <c r="B375" s="15"/>
      <c r="C375" s="15"/>
      <c r="D375" s="15"/>
      <c r="E375" s="15"/>
      <c r="F375" s="15"/>
      <c r="G375" s="15"/>
      <c r="H375" s="10"/>
      <c r="I375" s="10"/>
    </row>
    <row r="376" spans="2:9" hidden="1" x14ac:dyDescent="0.2">
      <c r="B376" s="15"/>
      <c r="C376" s="15"/>
      <c r="D376" s="15"/>
      <c r="E376" s="15"/>
      <c r="F376" s="15"/>
      <c r="G376" s="15"/>
      <c r="H376" s="10"/>
      <c r="I376" s="10"/>
    </row>
    <row r="377" spans="2:9" hidden="1" x14ac:dyDescent="0.2">
      <c r="B377" s="15"/>
      <c r="C377" s="15"/>
      <c r="D377" s="15"/>
      <c r="E377" s="15"/>
      <c r="F377" s="15"/>
      <c r="G377" s="15"/>
      <c r="H377" s="10"/>
      <c r="I377" s="10"/>
    </row>
    <row r="378" spans="2:9" hidden="1" x14ac:dyDescent="0.2">
      <c r="B378" s="15"/>
      <c r="C378" s="15"/>
      <c r="D378" s="15"/>
      <c r="E378" s="15"/>
      <c r="F378" s="15"/>
      <c r="G378" s="15"/>
      <c r="H378" s="10"/>
      <c r="I378" s="10"/>
    </row>
    <row r="379" spans="2:9" hidden="1" x14ac:dyDescent="0.2">
      <c r="B379" s="15"/>
      <c r="C379" s="15"/>
      <c r="D379" s="15"/>
      <c r="E379" s="15"/>
      <c r="F379" s="15"/>
      <c r="G379" s="15"/>
      <c r="H379" s="10"/>
      <c r="I379" s="10"/>
    </row>
    <row r="380" spans="2:9" hidden="1" x14ac:dyDescent="0.2">
      <c r="B380" s="15"/>
      <c r="C380" s="15"/>
      <c r="D380" s="15"/>
      <c r="E380" s="15"/>
      <c r="F380" s="15"/>
      <c r="G380" s="15"/>
      <c r="H380" s="10"/>
      <c r="I380" s="10"/>
    </row>
    <row r="381" spans="2:9" hidden="1" x14ac:dyDescent="0.2">
      <c r="B381" s="15"/>
      <c r="C381" s="15"/>
      <c r="D381" s="15"/>
      <c r="E381" s="15"/>
      <c r="F381" s="15"/>
      <c r="G381" s="15"/>
      <c r="H381" s="10"/>
      <c r="I381" s="10"/>
    </row>
    <row r="382" spans="2:9" hidden="1" x14ac:dyDescent="0.2">
      <c r="B382" s="15"/>
      <c r="C382" s="15"/>
      <c r="D382" s="15"/>
      <c r="E382" s="15"/>
      <c r="F382" s="15"/>
      <c r="G382" s="15"/>
      <c r="H382" s="10"/>
      <c r="I382" s="10"/>
    </row>
    <row r="383" spans="2:9" hidden="1" x14ac:dyDescent="0.2">
      <c r="B383" s="15"/>
      <c r="C383" s="15"/>
      <c r="D383" s="15"/>
      <c r="E383" s="15"/>
      <c r="F383" s="15"/>
      <c r="G383" s="15"/>
      <c r="H383" s="10"/>
      <c r="I383" s="10"/>
    </row>
    <row r="384" spans="2:9" hidden="1" x14ac:dyDescent="0.2">
      <c r="B384" s="15"/>
      <c r="C384" s="15"/>
      <c r="D384" s="15"/>
      <c r="E384" s="15"/>
      <c r="F384" s="15"/>
      <c r="G384" s="15"/>
      <c r="H384" s="10"/>
      <c r="I384" s="10"/>
    </row>
    <row r="385" spans="2:9" hidden="1" x14ac:dyDescent="0.2">
      <c r="B385" s="15"/>
      <c r="C385" s="15"/>
      <c r="D385" s="15"/>
      <c r="E385" s="15"/>
      <c r="F385" s="15"/>
      <c r="G385" s="15"/>
      <c r="H385" s="10"/>
      <c r="I385" s="10"/>
    </row>
    <row r="386" spans="2:9" hidden="1" x14ac:dyDescent="0.2">
      <c r="B386" s="15"/>
      <c r="C386" s="15"/>
      <c r="D386" s="15"/>
      <c r="E386" s="15"/>
      <c r="F386" s="15"/>
      <c r="G386" s="15"/>
      <c r="H386" s="10"/>
      <c r="I386" s="10"/>
    </row>
    <row r="387" spans="2:9" hidden="1" x14ac:dyDescent="0.2">
      <c r="B387" s="15"/>
      <c r="C387" s="15"/>
      <c r="D387" s="15"/>
      <c r="E387" s="15"/>
      <c r="F387" s="15"/>
      <c r="G387" s="15"/>
      <c r="H387" s="10"/>
      <c r="I387" s="10"/>
    </row>
    <row r="388" spans="2:9" hidden="1" x14ac:dyDescent="0.2">
      <c r="B388" s="15"/>
      <c r="C388" s="15"/>
      <c r="D388" s="15"/>
      <c r="E388" s="15"/>
      <c r="F388" s="15"/>
      <c r="G388" s="15"/>
      <c r="H388" s="10"/>
      <c r="I388" s="10"/>
    </row>
    <row r="389" spans="2:9" hidden="1" x14ac:dyDescent="0.2">
      <c r="B389" s="15"/>
      <c r="C389" s="15"/>
      <c r="D389" s="15"/>
      <c r="E389" s="15"/>
      <c r="F389" s="15"/>
      <c r="G389" s="15"/>
      <c r="H389" s="10"/>
      <c r="I389" s="10"/>
    </row>
    <row r="390" spans="2:9" hidden="1" x14ac:dyDescent="0.2">
      <c r="B390" s="15"/>
      <c r="C390" s="15"/>
      <c r="D390" s="15"/>
      <c r="E390" s="15"/>
      <c r="F390" s="15"/>
      <c r="G390" s="15"/>
      <c r="H390" s="10"/>
      <c r="I390" s="10"/>
    </row>
    <row r="391" spans="2:9" hidden="1" x14ac:dyDescent="0.2">
      <c r="B391" s="15"/>
      <c r="C391" s="15"/>
      <c r="D391" s="15"/>
      <c r="E391" s="15"/>
      <c r="F391" s="15"/>
      <c r="G391" s="15"/>
      <c r="H391" s="10"/>
      <c r="I391" s="10"/>
    </row>
    <row r="392" spans="2:9" hidden="1" x14ac:dyDescent="0.2">
      <c r="B392" s="15"/>
      <c r="C392" s="15"/>
      <c r="D392" s="15"/>
      <c r="E392" s="15"/>
      <c r="F392" s="15"/>
      <c r="G392" s="15"/>
      <c r="H392" s="10"/>
      <c r="I392" s="10"/>
    </row>
    <row r="393" spans="2:9" hidden="1" x14ac:dyDescent="0.2">
      <c r="B393" s="15"/>
      <c r="C393" s="15"/>
      <c r="D393" s="15"/>
      <c r="E393" s="15"/>
      <c r="F393" s="15"/>
      <c r="G393" s="15"/>
      <c r="H393" s="10"/>
      <c r="I393" s="10"/>
    </row>
    <row r="394" spans="2:9" hidden="1" x14ac:dyDescent="0.2">
      <c r="B394" s="15"/>
      <c r="C394" s="15"/>
      <c r="D394" s="15"/>
      <c r="E394" s="15"/>
      <c r="F394" s="15"/>
      <c r="G394" s="15"/>
      <c r="H394" s="10"/>
      <c r="I394" s="10"/>
    </row>
    <row r="395" spans="2:9" hidden="1" x14ac:dyDescent="0.2">
      <c r="B395" s="15"/>
      <c r="C395" s="15"/>
      <c r="D395" s="15"/>
      <c r="E395" s="15"/>
      <c r="F395" s="15"/>
      <c r="G395" s="15"/>
      <c r="H395" s="10"/>
      <c r="I395" s="10"/>
    </row>
    <row r="396" spans="2:9" hidden="1" x14ac:dyDescent="0.2">
      <c r="B396" s="15"/>
      <c r="C396" s="15"/>
      <c r="D396" s="15"/>
      <c r="E396" s="15"/>
      <c r="F396" s="15"/>
      <c r="G396" s="15"/>
      <c r="H396" s="10"/>
      <c r="I396" s="10"/>
    </row>
    <row r="397" spans="2:9" hidden="1" x14ac:dyDescent="0.2">
      <c r="B397" s="15"/>
      <c r="C397" s="15"/>
      <c r="D397" s="15"/>
      <c r="E397" s="15"/>
      <c r="F397" s="15"/>
      <c r="G397" s="15"/>
      <c r="H397" s="10"/>
      <c r="I397" s="10"/>
    </row>
    <row r="398" spans="2:9" hidden="1" x14ac:dyDescent="0.2">
      <c r="B398" s="15"/>
      <c r="C398" s="15"/>
      <c r="D398" s="15"/>
      <c r="E398" s="15"/>
      <c r="F398" s="15"/>
      <c r="G398" s="15"/>
      <c r="H398" s="10"/>
      <c r="I398" s="10"/>
    </row>
    <row r="399" spans="2:9" hidden="1" x14ac:dyDescent="0.2">
      <c r="B399" s="15"/>
      <c r="C399" s="15"/>
      <c r="D399" s="15"/>
      <c r="E399" s="15"/>
      <c r="F399" s="15"/>
      <c r="G399" s="15"/>
      <c r="H399" s="10"/>
      <c r="I399" s="10"/>
    </row>
    <row r="400" spans="2:9" hidden="1" x14ac:dyDescent="0.2">
      <c r="B400" s="15"/>
      <c r="C400" s="15"/>
      <c r="D400" s="15"/>
      <c r="E400" s="15"/>
      <c r="F400" s="15"/>
      <c r="G400" s="15"/>
      <c r="H400" s="10"/>
      <c r="I400" s="10"/>
    </row>
    <row r="401" spans="2:9" hidden="1" x14ac:dyDescent="0.2">
      <c r="B401" s="15"/>
      <c r="C401" s="15"/>
      <c r="D401" s="15"/>
      <c r="E401" s="15"/>
      <c r="F401" s="15"/>
      <c r="G401" s="15"/>
      <c r="H401" s="10"/>
      <c r="I401" s="10"/>
    </row>
    <row r="402" spans="2:9" hidden="1" x14ac:dyDescent="0.2">
      <c r="B402" s="15"/>
      <c r="C402" s="15"/>
      <c r="D402" s="15"/>
      <c r="E402" s="15"/>
      <c r="F402" s="15"/>
      <c r="G402" s="15"/>
      <c r="H402" s="10"/>
      <c r="I402" s="10"/>
    </row>
    <row r="403" spans="2:9" hidden="1" x14ac:dyDescent="0.2">
      <c r="B403" s="15"/>
      <c r="C403" s="15"/>
      <c r="D403" s="15"/>
      <c r="E403" s="15"/>
      <c r="F403" s="15"/>
      <c r="G403" s="15"/>
      <c r="H403" s="10"/>
      <c r="I403" s="10"/>
    </row>
    <row r="404" spans="2:9" hidden="1" x14ac:dyDescent="0.2">
      <c r="B404" s="15"/>
      <c r="C404" s="15"/>
      <c r="D404" s="15"/>
      <c r="E404" s="15"/>
      <c r="F404" s="15"/>
      <c r="G404" s="15"/>
      <c r="H404" s="10"/>
      <c r="I404" s="10"/>
    </row>
    <row r="405" spans="2:9" hidden="1" x14ac:dyDescent="0.2">
      <c r="B405" s="15"/>
      <c r="C405" s="15"/>
      <c r="D405" s="15"/>
      <c r="E405" s="15"/>
      <c r="F405" s="15"/>
      <c r="G405" s="15"/>
      <c r="H405" s="10"/>
      <c r="I405" s="10"/>
    </row>
    <row r="406" spans="2:9" hidden="1" x14ac:dyDescent="0.2">
      <c r="B406" s="15"/>
      <c r="C406" s="15"/>
      <c r="D406" s="15"/>
      <c r="E406" s="15"/>
      <c r="F406" s="15"/>
      <c r="G406" s="15"/>
      <c r="H406" s="10"/>
      <c r="I406" s="10"/>
    </row>
    <row r="407" spans="2:9" hidden="1" x14ac:dyDescent="0.2">
      <c r="B407" s="15"/>
      <c r="C407" s="15"/>
      <c r="D407" s="15"/>
      <c r="E407" s="15"/>
      <c r="F407" s="15"/>
      <c r="G407" s="15"/>
      <c r="H407" s="10"/>
      <c r="I407" s="10"/>
    </row>
    <row r="408" spans="2:9" hidden="1" x14ac:dyDescent="0.2">
      <c r="B408" s="15"/>
      <c r="C408" s="15"/>
      <c r="D408" s="15"/>
      <c r="E408" s="15"/>
      <c r="F408" s="15"/>
      <c r="G408" s="15"/>
      <c r="H408" s="10"/>
      <c r="I408" s="10"/>
    </row>
    <row r="409" spans="2:9" hidden="1" x14ac:dyDescent="0.2">
      <c r="B409" s="15"/>
      <c r="C409" s="15"/>
      <c r="D409" s="15"/>
      <c r="E409" s="15"/>
      <c r="F409" s="15"/>
      <c r="G409" s="15"/>
      <c r="H409" s="10"/>
      <c r="I409" s="10"/>
    </row>
    <row r="410" spans="2:9" hidden="1" x14ac:dyDescent="0.2">
      <c r="B410" s="15"/>
      <c r="C410" s="15"/>
      <c r="D410" s="15"/>
      <c r="E410" s="15"/>
      <c r="F410" s="15"/>
      <c r="G410" s="15"/>
      <c r="H410" s="10"/>
      <c r="I410" s="10"/>
    </row>
    <row r="411" spans="2:9" hidden="1" x14ac:dyDescent="0.2">
      <c r="B411" s="15"/>
      <c r="C411" s="15"/>
      <c r="D411" s="15"/>
      <c r="E411" s="15"/>
      <c r="F411" s="15"/>
      <c r="G411" s="15"/>
      <c r="H411" s="10"/>
      <c r="I411" s="10"/>
    </row>
    <row r="412" spans="2:9" hidden="1" x14ac:dyDescent="0.2">
      <c r="B412" s="15"/>
      <c r="C412" s="15"/>
      <c r="D412" s="15"/>
      <c r="E412" s="15"/>
      <c r="F412" s="15"/>
      <c r="G412" s="15"/>
      <c r="H412" s="10"/>
      <c r="I412" s="10"/>
    </row>
    <row r="413" spans="2:9" hidden="1" x14ac:dyDescent="0.2">
      <c r="B413" s="15"/>
      <c r="C413" s="15"/>
      <c r="D413" s="15"/>
      <c r="E413" s="15"/>
      <c r="F413" s="15"/>
      <c r="G413" s="15"/>
      <c r="H413" s="10"/>
      <c r="I413" s="10"/>
    </row>
    <row r="414" spans="2:9" hidden="1" x14ac:dyDescent="0.2">
      <c r="B414" s="15"/>
      <c r="C414" s="15"/>
      <c r="D414" s="15"/>
      <c r="E414" s="15"/>
      <c r="F414" s="15"/>
      <c r="G414" s="15"/>
      <c r="H414" s="10"/>
      <c r="I414" s="10"/>
    </row>
    <row r="415" spans="2:9" hidden="1" x14ac:dyDescent="0.2">
      <c r="B415" s="15"/>
      <c r="C415" s="15"/>
      <c r="D415" s="15"/>
      <c r="E415" s="15"/>
      <c r="F415" s="15"/>
      <c r="G415" s="15"/>
      <c r="H415" s="10"/>
      <c r="I415" s="10"/>
    </row>
    <row r="416" spans="2:9" hidden="1" x14ac:dyDescent="0.2">
      <c r="B416" s="15"/>
      <c r="C416" s="15"/>
      <c r="D416" s="15"/>
      <c r="E416" s="15"/>
      <c r="F416" s="15"/>
      <c r="G416" s="15"/>
      <c r="H416" s="10"/>
      <c r="I416" s="10"/>
    </row>
    <row r="417" spans="2:9" hidden="1" x14ac:dyDescent="0.2">
      <c r="B417" s="15"/>
      <c r="C417" s="15"/>
      <c r="D417" s="15"/>
      <c r="E417" s="15"/>
      <c r="F417" s="15"/>
      <c r="G417" s="15"/>
      <c r="H417" s="10"/>
      <c r="I417" s="10"/>
    </row>
    <row r="418" spans="2:9" hidden="1" x14ac:dyDescent="0.2">
      <c r="B418" s="15"/>
      <c r="C418" s="15"/>
      <c r="D418" s="15"/>
      <c r="E418" s="15"/>
      <c r="F418" s="15"/>
      <c r="G418" s="15"/>
      <c r="H418" s="10"/>
      <c r="I418" s="10"/>
    </row>
    <row r="419" spans="2:9" hidden="1" x14ac:dyDescent="0.2">
      <c r="B419" s="15"/>
      <c r="C419" s="15"/>
      <c r="D419" s="15"/>
      <c r="E419" s="15"/>
      <c r="F419" s="15"/>
      <c r="G419" s="15"/>
      <c r="H419" s="10"/>
      <c r="I419" s="10"/>
    </row>
    <row r="420" spans="2:9" hidden="1" x14ac:dyDescent="0.2">
      <c r="B420" s="15"/>
      <c r="C420" s="15"/>
      <c r="D420" s="15"/>
      <c r="E420" s="15"/>
      <c r="F420" s="15"/>
      <c r="G420" s="15"/>
      <c r="H420" s="10"/>
      <c r="I420" s="10"/>
    </row>
    <row r="421" spans="2:9" hidden="1" x14ac:dyDescent="0.2">
      <c r="B421" s="15"/>
      <c r="C421" s="15"/>
      <c r="D421" s="15"/>
      <c r="E421" s="15"/>
      <c r="F421" s="15"/>
      <c r="G421" s="15"/>
      <c r="H421" s="10"/>
      <c r="I421" s="10"/>
    </row>
    <row r="422" spans="2:9" hidden="1" x14ac:dyDescent="0.2">
      <c r="B422" s="15"/>
      <c r="C422" s="15"/>
      <c r="D422" s="15"/>
      <c r="E422" s="15"/>
      <c r="F422" s="15"/>
      <c r="G422" s="15"/>
      <c r="H422" s="10"/>
      <c r="I422" s="10"/>
    </row>
    <row r="423" spans="2:9" hidden="1" x14ac:dyDescent="0.2">
      <c r="B423" s="15"/>
      <c r="C423" s="15"/>
      <c r="D423" s="15"/>
      <c r="E423" s="15"/>
      <c r="F423" s="15"/>
      <c r="G423" s="15"/>
      <c r="H423" s="10"/>
      <c r="I423" s="10"/>
    </row>
    <row r="424" spans="2:9" hidden="1" x14ac:dyDescent="0.2">
      <c r="B424" s="15"/>
      <c r="C424" s="15"/>
      <c r="D424" s="15"/>
      <c r="E424" s="15"/>
      <c r="F424" s="15"/>
      <c r="G424" s="15"/>
      <c r="H424" s="10"/>
      <c r="I424" s="10"/>
    </row>
    <row r="425" spans="2:9" hidden="1" x14ac:dyDescent="0.2">
      <c r="B425" s="15"/>
      <c r="C425" s="15"/>
      <c r="D425" s="15"/>
      <c r="E425" s="15"/>
      <c r="F425" s="15"/>
      <c r="G425" s="15"/>
      <c r="H425" s="10"/>
      <c r="I425" s="10"/>
    </row>
    <row r="426" spans="2:9" hidden="1" x14ac:dyDescent="0.2">
      <c r="B426" s="15"/>
      <c r="C426" s="15"/>
      <c r="D426" s="15"/>
      <c r="E426" s="15"/>
      <c r="F426" s="15"/>
      <c r="G426" s="15"/>
      <c r="H426" s="10"/>
      <c r="I426" s="10"/>
    </row>
    <row r="427" spans="2:9" hidden="1" x14ac:dyDescent="0.2">
      <c r="B427" s="15"/>
      <c r="C427" s="15"/>
      <c r="D427" s="15"/>
      <c r="E427" s="15"/>
      <c r="F427" s="15"/>
      <c r="G427" s="15"/>
      <c r="H427" s="10"/>
      <c r="I427" s="10"/>
    </row>
    <row r="428" spans="2:9" hidden="1" x14ac:dyDescent="0.2">
      <c r="B428" s="15"/>
      <c r="C428" s="15"/>
      <c r="D428" s="15"/>
      <c r="E428" s="15"/>
      <c r="F428" s="15"/>
      <c r="G428" s="15"/>
      <c r="H428" s="10"/>
      <c r="I428" s="10"/>
    </row>
    <row r="429" spans="2:9" hidden="1" x14ac:dyDescent="0.2">
      <c r="B429" s="15"/>
      <c r="C429" s="15"/>
      <c r="D429" s="15"/>
      <c r="E429" s="15"/>
      <c r="F429" s="15"/>
      <c r="G429" s="15"/>
      <c r="H429" s="10"/>
      <c r="I429" s="10"/>
    </row>
    <row r="430" spans="2:9" hidden="1" x14ac:dyDescent="0.2">
      <c r="B430" s="15"/>
      <c r="C430" s="15"/>
      <c r="D430" s="15"/>
      <c r="E430" s="15"/>
      <c r="F430" s="15"/>
      <c r="G430" s="15"/>
      <c r="H430" s="10"/>
      <c r="I430" s="10"/>
    </row>
    <row r="431" spans="2:9" hidden="1" x14ac:dyDescent="0.2">
      <c r="B431" s="15"/>
      <c r="C431" s="15"/>
      <c r="D431" s="15"/>
      <c r="E431" s="15"/>
      <c r="F431" s="15"/>
      <c r="G431" s="15"/>
      <c r="H431" s="10"/>
      <c r="I431" s="10"/>
    </row>
    <row r="432" spans="2:9" hidden="1" x14ac:dyDescent="0.2">
      <c r="B432" s="15"/>
      <c r="C432" s="15"/>
      <c r="D432" s="15"/>
      <c r="E432" s="15"/>
      <c r="F432" s="15"/>
      <c r="G432" s="15"/>
      <c r="H432" s="10"/>
      <c r="I432" s="10"/>
    </row>
    <row r="433" spans="2:9" hidden="1" x14ac:dyDescent="0.2">
      <c r="B433" s="15"/>
      <c r="C433" s="15"/>
      <c r="D433" s="15"/>
      <c r="E433" s="15"/>
      <c r="F433" s="15"/>
      <c r="G433" s="15"/>
      <c r="H433" s="10"/>
      <c r="I433" s="10"/>
    </row>
    <row r="434" spans="2:9" hidden="1" x14ac:dyDescent="0.2">
      <c r="B434" s="15"/>
      <c r="C434" s="15"/>
      <c r="D434" s="15"/>
      <c r="E434" s="15"/>
      <c r="F434" s="15"/>
      <c r="G434" s="15"/>
      <c r="H434" s="10"/>
      <c r="I434" s="10"/>
    </row>
    <row r="435" spans="2:9" hidden="1" x14ac:dyDescent="0.2">
      <c r="B435" s="15"/>
      <c r="C435" s="15"/>
      <c r="D435" s="15"/>
      <c r="E435" s="15"/>
      <c r="F435" s="15"/>
      <c r="G435" s="15"/>
      <c r="H435" s="10"/>
      <c r="I435" s="10"/>
    </row>
    <row r="436" spans="2:9" hidden="1" x14ac:dyDescent="0.2">
      <c r="B436" s="15"/>
      <c r="C436" s="15"/>
      <c r="D436" s="15"/>
      <c r="E436" s="15"/>
      <c r="F436" s="15"/>
      <c r="G436" s="15"/>
      <c r="H436" s="10"/>
      <c r="I436" s="10"/>
    </row>
    <row r="437" spans="2:9" hidden="1" x14ac:dyDescent="0.2">
      <c r="B437" s="15"/>
      <c r="C437" s="15"/>
      <c r="D437" s="15"/>
      <c r="E437" s="15"/>
      <c r="F437" s="15"/>
      <c r="G437" s="15"/>
      <c r="H437" s="10"/>
      <c r="I437" s="10"/>
    </row>
    <row r="438" spans="2:9" hidden="1" x14ac:dyDescent="0.2">
      <c r="B438" s="15"/>
      <c r="C438" s="15"/>
      <c r="D438" s="15"/>
      <c r="E438" s="15"/>
      <c r="F438" s="15"/>
      <c r="G438" s="15"/>
      <c r="H438" s="10"/>
      <c r="I438" s="10"/>
    </row>
    <row r="439" spans="2:9" hidden="1" x14ac:dyDescent="0.2">
      <c r="B439" s="15"/>
      <c r="C439" s="15"/>
      <c r="D439" s="15"/>
      <c r="E439" s="15"/>
      <c r="F439" s="15"/>
      <c r="G439" s="15"/>
      <c r="H439" s="10"/>
      <c r="I439" s="10"/>
    </row>
    <row r="440" spans="2:9" hidden="1" x14ac:dyDescent="0.2">
      <c r="B440" s="15"/>
      <c r="C440" s="15"/>
      <c r="D440" s="15"/>
      <c r="E440" s="15"/>
      <c r="F440" s="15"/>
      <c r="G440" s="15"/>
      <c r="H440" s="10"/>
      <c r="I440" s="10"/>
    </row>
    <row r="441" spans="2:9" hidden="1" x14ac:dyDescent="0.2">
      <c r="B441" s="15"/>
      <c r="C441" s="15"/>
      <c r="D441" s="15"/>
      <c r="E441" s="15"/>
      <c r="F441" s="15"/>
      <c r="G441" s="15"/>
      <c r="H441" s="10"/>
      <c r="I441" s="10"/>
    </row>
    <row r="442" spans="2:9" hidden="1" x14ac:dyDescent="0.2">
      <c r="B442" s="15"/>
      <c r="C442" s="15"/>
      <c r="D442" s="15"/>
      <c r="E442" s="15"/>
      <c r="F442" s="15"/>
      <c r="G442" s="15"/>
      <c r="H442" s="10"/>
      <c r="I442" s="10"/>
    </row>
    <row r="443" spans="2:9" hidden="1" x14ac:dyDescent="0.2">
      <c r="B443" s="15"/>
      <c r="C443" s="15"/>
      <c r="D443" s="15"/>
      <c r="E443" s="15"/>
      <c r="F443" s="15"/>
      <c r="G443" s="15"/>
      <c r="H443" s="10"/>
      <c r="I443" s="10"/>
    </row>
    <row r="444" spans="2:9" hidden="1" x14ac:dyDescent="0.2">
      <c r="B444" s="15"/>
      <c r="C444" s="15"/>
      <c r="D444" s="15"/>
      <c r="E444" s="15"/>
      <c r="F444" s="15"/>
      <c r="G444" s="15"/>
      <c r="H444" s="10"/>
      <c r="I444" s="10"/>
    </row>
    <row r="445" spans="2:9" hidden="1" x14ac:dyDescent="0.2">
      <c r="B445" s="15"/>
      <c r="C445" s="15"/>
      <c r="D445" s="15"/>
      <c r="E445" s="15"/>
      <c r="F445" s="15"/>
      <c r="G445" s="15"/>
      <c r="H445" s="10"/>
      <c r="I445" s="10"/>
    </row>
    <row r="446" spans="2:9" hidden="1" x14ac:dyDescent="0.2">
      <c r="B446" s="15"/>
      <c r="C446" s="15"/>
      <c r="D446" s="15"/>
      <c r="E446" s="15"/>
      <c r="F446" s="15"/>
      <c r="G446" s="15"/>
      <c r="H446" s="10"/>
      <c r="I446" s="10"/>
    </row>
    <row r="447" spans="2:9" hidden="1" x14ac:dyDescent="0.2">
      <c r="B447" s="15"/>
      <c r="C447" s="15"/>
      <c r="D447" s="15"/>
      <c r="E447" s="15"/>
      <c r="F447" s="15"/>
      <c r="G447" s="15"/>
      <c r="H447" s="10"/>
      <c r="I447" s="10"/>
    </row>
    <row r="448" spans="2:9" hidden="1" x14ac:dyDescent="0.2">
      <c r="B448" s="15"/>
      <c r="C448" s="15"/>
      <c r="D448" s="15"/>
      <c r="E448" s="15"/>
      <c r="F448" s="15"/>
      <c r="G448" s="15"/>
      <c r="H448" s="10"/>
      <c r="I448" s="10"/>
    </row>
    <row r="449" spans="2:9" hidden="1" x14ac:dyDescent="0.2">
      <c r="B449" s="15"/>
      <c r="C449" s="15"/>
      <c r="D449" s="15"/>
      <c r="E449" s="15"/>
      <c r="F449" s="15"/>
      <c r="G449" s="15"/>
      <c r="H449" s="10"/>
      <c r="I449" s="10"/>
    </row>
    <row r="450" spans="2:9" hidden="1" x14ac:dyDescent="0.2">
      <c r="B450" s="15"/>
      <c r="C450" s="15"/>
      <c r="D450" s="15"/>
      <c r="E450" s="15"/>
      <c r="F450" s="15"/>
      <c r="G450" s="15"/>
      <c r="H450" s="10"/>
      <c r="I450" s="10"/>
    </row>
    <row r="451" spans="2:9" hidden="1" x14ac:dyDescent="0.2">
      <c r="B451" s="15"/>
      <c r="C451" s="15"/>
      <c r="D451" s="15"/>
      <c r="E451" s="15"/>
      <c r="F451" s="15"/>
      <c r="G451" s="15"/>
      <c r="H451" s="10"/>
      <c r="I451" s="10"/>
    </row>
    <row r="452" spans="2:9" hidden="1" x14ac:dyDescent="0.2">
      <c r="B452" s="15"/>
      <c r="C452" s="15"/>
      <c r="D452" s="15"/>
      <c r="E452" s="15"/>
      <c r="F452" s="15"/>
      <c r="G452" s="15"/>
      <c r="H452" s="10"/>
      <c r="I452" s="10"/>
    </row>
    <row r="453" spans="2:9" hidden="1" x14ac:dyDescent="0.2">
      <c r="B453" s="15"/>
      <c r="C453" s="15"/>
      <c r="D453" s="15"/>
      <c r="E453" s="15"/>
      <c r="F453" s="15"/>
      <c r="G453" s="15"/>
      <c r="H453" s="10"/>
      <c r="I453" s="10"/>
    </row>
    <row r="454" spans="2:9" hidden="1" x14ac:dyDescent="0.2">
      <c r="B454" s="15"/>
      <c r="C454" s="15"/>
      <c r="D454" s="15"/>
      <c r="E454" s="15"/>
      <c r="F454" s="15"/>
      <c r="G454" s="15"/>
      <c r="H454" s="10"/>
      <c r="I454" s="10"/>
    </row>
    <row r="455" spans="2:9" hidden="1" x14ac:dyDescent="0.2">
      <c r="B455" s="15"/>
      <c r="C455" s="15"/>
      <c r="D455" s="15"/>
      <c r="E455" s="15"/>
      <c r="F455" s="15"/>
      <c r="G455" s="15"/>
      <c r="H455" s="10"/>
      <c r="I455" s="10"/>
    </row>
    <row r="456" spans="2:9" hidden="1" x14ac:dyDescent="0.2">
      <c r="B456" s="15"/>
      <c r="C456" s="15"/>
      <c r="D456" s="15"/>
      <c r="E456" s="15"/>
      <c r="F456" s="15"/>
      <c r="G456" s="15"/>
      <c r="H456" s="10"/>
      <c r="I456" s="10"/>
    </row>
    <row r="457" spans="2:9" hidden="1" x14ac:dyDescent="0.2">
      <c r="B457" s="15"/>
      <c r="C457" s="15"/>
      <c r="D457" s="15"/>
      <c r="E457" s="15"/>
      <c r="F457" s="15"/>
      <c r="G457" s="15"/>
      <c r="H457" s="10"/>
      <c r="I457" s="10"/>
    </row>
    <row r="458" spans="2:9" hidden="1" x14ac:dyDescent="0.2">
      <c r="B458" s="15"/>
      <c r="C458" s="15"/>
      <c r="D458" s="15"/>
      <c r="E458" s="15"/>
      <c r="F458" s="15"/>
      <c r="G458" s="15"/>
      <c r="H458" s="10"/>
      <c r="I458" s="10"/>
    </row>
    <row r="459" spans="2:9" hidden="1" x14ac:dyDescent="0.2">
      <c r="B459" s="15"/>
      <c r="C459" s="15"/>
      <c r="D459" s="15"/>
      <c r="E459" s="15"/>
      <c r="F459" s="15"/>
      <c r="G459" s="15"/>
      <c r="H459" s="10"/>
      <c r="I459" s="10"/>
    </row>
    <row r="460" spans="2:9" hidden="1" x14ac:dyDescent="0.2">
      <c r="B460" s="15"/>
      <c r="C460" s="15"/>
      <c r="D460" s="15"/>
      <c r="E460" s="15"/>
      <c r="F460" s="15"/>
      <c r="G460" s="15"/>
      <c r="H460" s="10"/>
      <c r="I460" s="10"/>
    </row>
    <row r="461" spans="2:9" hidden="1" x14ac:dyDescent="0.2">
      <c r="B461" s="15"/>
      <c r="C461" s="15"/>
      <c r="D461" s="15"/>
      <c r="E461" s="15"/>
      <c r="F461" s="15"/>
      <c r="G461" s="15"/>
      <c r="H461" s="10"/>
      <c r="I461" s="10"/>
    </row>
    <row r="462" spans="2:9" hidden="1" x14ac:dyDescent="0.2">
      <c r="B462" s="15"/>
      <c r="C462" s="15"/>
      <c r="D462" s="15"/>
      <c r="E462" s="15"/>
      <c r="F462" s="15"/>
      <c r="G462" s="15"/>
      <c r="H462" s="10"/>
      <c r="I462" s="10"/>
    </row>
    <row r="463" spans="2:9" hidden="1" x14ac:dyDescent="0.2">
      <c r="B463" s="15"/>
      <c r="C463" s="15"/>
      <c r="D463" s="15"/>
      <c r="E463" s="15"/>
      <c r="F463" s="15"/>
      <c r="G463" s="15"/>
      <c r="H463" s="10"/>
      <c r="I463" s="10"/>
    </row>
    <row r="464" spans="2:9" hidden="1" x14ac:dyDescent="0.2">
      <c r="B464" s="15"/>
      <c r="C464" s="15"/>
      <c r="D464" s="15"/>
      <c r="E464" s="15"/>
      <c r="F464" s="15"/>
      <c r="G464" s="15"/>
      <c r="H464" s="10"/>
      <c r="I464" s="10"/>
    </row>
    <row r="465" spans="2:9" hidden="1" x14ac:dyDescent="0.2">
      <c r="B465" s="15"/>
      <c r="C465" s="15"/>
      <c r="D465" s="15"/>
      <c r="E465" s="15"/>
      <c r="F465" s="15"/>
      <c r="G465" s="15"/>
      <c r="H465" s="10"/>
      <c r="I465" s="10"/>
    </row>
  </sheetData>
  <autoFilter ref="A2:I121" xr:uid="{00000000-0009-0000-0000-000000000000}"/>
  <phoneticPr fontId="0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65"/>
  <sheetViews>
    <sheetView workbookViewId="0">
      <selection sqref="A1:IV65536"/>
    </sheetView>
  </sheetViews>
  <sheetFormatPr defaultRowHeight="12.75" x14ac:dyDescent="0.2"/>
  <cols>
    <col min="1" max="1" width="4.85546875" style="14" customWidth="1"/>
    <col min="2" max="2" width="17.42578125" style="14" customWidth="1"/>
    <col min="3" max="3" width="12.140625" style="14" customWidth="1"/>
    <col min="4" max="4" width="29.42578125" style="14" customWidth="1"/>
    <col min="5" max="5" width="10.140625" style="14" customWidth="1"/>
    <col min="6" max="6" width="22.7109375" style="14" customWidth="1"/>
    <col min="7" max="7" width="20.5703125" style="14" customWidth="1"/>
    <col min="8" max="8" width="17.5703125" customWidth="1"/>
    <col min="9" max="9" width="14.28515625" customWidth="1"/>
  </cols>
  <sheetData>
    <row r="1" spans="1:9" ht="20.25" thickBot="1" x14ac:dyDescent="0.45">
      <c r="A1" s="11"/>
      <c r="B1" s="11"/>
      <c r="C1" s="12" t="s">
        <v>10</v>
      </c>
      <c r="D1" s="12"/>
      <c r="E1" s="12"/>
      <c r="F1" s="12"/>
      <c r="G1" s="12"/>
      <c r="H1" s="1"/>
      <c r="I1" s="1"/>
    </row>
    <row r="2" spans="1:9" x14ac:dyDescent="0.2">
      <c r="A2" s="13"/>
      <c r="B2" s="3" t="s">
        <v>2</v>
      </c>
      <c r="C2" s="2" t="s">
        <v>3</v>
      </c>
      <c r="D2" s="2" t="s">
        <v>1</v>
      </c>
      <c r="E2" s="2" t="s">
        <v>4</v>
      </c>
      <c r="F2" s="2" t="s">
        <v>5</v>
      </c>
      <c r="G2" s="2" t="s">
        <v>6</v>
      </c>
      <c r="H2" s="4" t="s">
        <v>7</v>
      </c>
      <c r="I2" s="4" t="s">
        <v>8</v>
      </c>
    </row>
    <row r="3" spans="1:9" x14ac:dyDescent="0.2">
      <c r="A3" s="13">
        <v>1</v>
      </c>
      <c r="B3" s="5"/>
      <c r="C3" s="6"/>
      <c r="D3" s="7"/>
      <c r="E3" s="7"/>
      <c r="F3" s="7"/>
      <c r="G3" s="7"/>
      <c r="H3" s="8"/>
      <c r="I3" s="9"/>
    </row>
    <row r="4" spans="1:9" x14ac:dyDescent="0.2">
      <c r="A4" s="13">
        <v>2</v>
      </c>
      <c r="B4" s="5"/>
      <c r="C4" s="6"/>
      <c r="D4" s="7"/>
      <c r="E4" s="7"/>
      <c r="F4" s="7"/>
      <c r="G4" s="7"/>
      <c r="H4" s="8"/>
      <c r="I4" s="9"/>
    </row>
    <row r="5" spans="1:9" x14ac:dyDescent="0.2">
      <c r="A5" s="13">
        <v>3</v>
      </c>
      <c r="B5" s="5"/>
      <c r="C5" s="6"/>
      <c r="D5" s="7"/>
      <c r="E5" s="7"/>
      <c r="F5" s="7"/>
      <c r="G5" s="7"/>
      <c r="H5" s="8"/>
      <c r="I5" s="9"/>
    </row>
    <row r="6" spans="1:9" x14ac:dyDescent="0.2">
      <c r="A6" s="13">
        <v>4</v>
      </c>
      <c r="B6" s="5"/>
      <c r="C6" s="6"/>
      <c r="D6" s="7"/>
      <c r="E6" s="7"/>
      <c r="F6" s="7"/>
      <c r="G6" s="7"/>
      <c r="H6" s="9"/>
      <c r="I6" s="9"/>
    </row>
    <row r="7" spans="1:9" x14ac:dyDescent="0.2">
      <c r="A7" s="13">
        <v>5</v>
      </c>
      <c r="B7" s="5"/>
      <c r="C7" s="6"/>
      <c r="D7" s="7"/>
      <c r="E7" s="7"/>
      <c r="F7" s="7"/>
      <c r="G7" s="7"/>
      <c r="H7" s="9"/>
      <c r="I7" s="9"/>
    </row>
    <row r="8" spans="1:9" x14ac:dyDescent="0.2">
      <c r="A8" s="13">
        <v>6</v>
      </c>
      <c r="B8" s="5"/>
      <c r="C8" s="6"/>
      <c r="D8" s="7"/>
      <c r="E8" s="7"/>
      <c r="F8" s="7"/>
      <c r="G8" s="7"/>
      <c r="H8" s="9"/>
      <c r="I8" s="9"/>
    </row>
    <row r="9" spans="1:9" x14ac:dyDescent="0.2">
      <c r="A9" s="13">
        <v>7</v>
      </c>
      <c r="B9" s="5"/>
      <c r="C9" s="6"/>
      <c r="D9" s="7"/>
      <c r="E9" s="7"/>
      <c r="F9" s="7"/>
      <c r="G9" s="7"/>
      <c r="H9" s="9"/>
      <c r="I9" s="9"/>
    </row>
    <row r="10" spans="1:9" x14ac:dyDescent="0.2">
      <c r="A10" s="13">
        <v>8</v>
      </c>
      <c r="B10" s="5"/>
      <c r="C10" s="6"/>
      <c r="D10" s="7"/>
      <c r="E10" s="7"/>
      <c r="F10" s="7"/>
      <c r="G10" s="7"/>
      <c r="H10" s="9"/>
      <c r="I10" s="9"/>
    </row>
    <row r="11" spans="1:9" x14ac:dyDescent="0.2">
      <c r="A11" s="13">
        <v>9</v>
      </c>
      <c r="B11" s="5"/>
      <c r="C11" s="6"/>
      <c r="D11" s="7"/>
      <c r="E11" s="7"/>
      <c r="F11" s="7"/>
      <c r="G11" s="7"/>
      <c r="H11" s="9"/>
      <c r="I11" s="9"/>
    </row>
    <row r="12" spans="1:9" x14ac:dyDescent="0.2">
      <c r="A12" s="13">
        <v>10</v>
      </c>
      <c r="B12" s="6"/>
      <c r="C12" s="6"/>
      <c r="D12" s="7"/>
      <c r="E12" s="7"/>
      <c r="F12" s="7"/>
      <c r="G12" s="7"/>
      <c r="H12" s="9"/>
      <c r="I12" s="9"/>
    </row>
    <row r="13" spans="1:9" x14ac:dyDescent="0.2">
      <c r="A13" s="13">
        <v>11</v>
      </c>
      <c r="B13" s="6"/>
      <c r="C13" s="6"/>
      <c r="D13" s="7"/>
      <c r="E13" s="7"/>
      <c r="F13" s="7"/>
      <c r="G13" s="7"/>
      <c r="H13" s="9"/>
      <c r="I13" s="9"/>
    </row>
    <row r="14" spans="1:9" x14ac:dyDescent="0.2">
      <c r="A14" s="13">
        <v>12</v>
      </c>
      <c r="B14" s="6"/>
      <c r="C14" s="6"/>
      <c r="D14" s="7"/>
      <c r="E14" s="7"/>
      <c r="F14" s="7"/>
      <c r="G14" s="7"/>
      <c r="H14" s="9"/>
      <c r="I14" s="9"/>
    </row>
    <row r="15" spans="1:9" x14ac:dyDescent="0.2">
      <c r="A15" s="13">
        <v>13</v>
      </c>
      <c r="B15" s="6"/>
      <c r="C15" s="6"/>
      <c r="D15" s="7"/>
      <c r="E15" s="7"/>
      <c r="F15" s="7"/>
      <c r="G15" s="7"/>
      <c r="H15" s="9"/>
      <c r="I15" s="9"/>
    </row>
    <row r="16" spans="1:9" x14ac:dyDescent="0.2">
      <c r="A16" s="13">
        <v>13</v>
      </c>
      <c r="B16" s="6"/>
      <c r="C16" s="6"/>
      <c r="D16" s="7"/>
      <c r="E16" s="7"/>
      <c r="F16" s="7"/>
      <c r="G16" s="7"/>
      <c r="H16" s="9"/>
      <c r="I16" s="9"/>
    </row>
    <row r="17" spans="1:9" x14ac:dyDescent="0.2">
      <c r="A17" s="13">
        <v>15</v>
      </c>
      <c r="B17" s="6"/>
      <c r="C17" s="6"/>
      <c r="D17" s="7"/>
      <c r="E17" s="7"/>
      <c r="F17" s="7"/>
      <c r="G17" s="7"/>
      <c r="H17" s="9"/>
      <c r="I17" s="9"/>
    </row>
    <row r="18" spans="1:9" x14ac:dyDescent="0.2">
      <c r="A18" s="13">
        <v>16</v>
      </c>
      <c r="B18" s="6"/>
      <c r="C18" s="6"/>
      <c r="D18" s="7"/>
      <c r="E18" s="7"/>
      <c r="F18" s="7"/>
      <c r="G18" s="7"/>
      <c r="H18" s="9"/>
      <c r="I18" s="9"/>
    </row>
    <row r="19" spans="1:9" x14ac:dyDescent="0.2">
      <c r="A19" s="13">
        <v>17</v>
      </c>
      <c r="B19" s="7"/>
      <c r="C19" s="6"/>
      <c r="D19" s="7"/>
      <c r="E19" s="7"/>
      <c r="F19" s="7"/>
      <c r="G19" s="7"/>
      <c r="H19" s="9"/>
      <c r="I19" s="9"/>
    </row>
    <row r="20" spans="1:9" x14ac:dyDescent="0.2">
      <c r="A20" s="13">
        <v>18</v>
      </c>
      <c r="B20" s="7"/>
      <c r="C20" s="6"/>
      <c r="D20" s="7"/>
      <c r="E20" s="7"/>
      <c r="F20" s="7"/>
      <c r="G20" s="7"/>
      <c r="H20" s="9"/>
      <c r="I20" s="9"/>
    </row>
    <row r="21" spans="1:9" x14ac:dyDescent="0.2">
      <c r="A21" s="13">
        <v>19</v>
      </c>
      <c r="B21" s="7"/>
      <c r="C21" s="6"/>
      <c r="D21" s="7"/>
      <c r="E21" s="7"/>
      <c r="F21" s="7"/>
      <c r="G21" s="7"/>
      <c r="H21" s="9"/>
      <c r="I21" s="9"/>
    </row>
    <row r="22" spans="1:9" x14ac:dyDescent="0.2">
      <c r="A22" s="13">
        <v>20</v>
      </c>
      <c r="B22" s="7"/>
      <c r="C22" s="6"/>
      <c r="D22" s="7"/>
      <c r="E22" s="7"/>
      <c r="F22" s="7"/>
      <c r="G22" s="7"/>
      <c r="H22" s="9"/>
      <c r="I22" s="9"/>
    </row>
    <row r="23" spans="1:9" x14ac:dyDescent="0.2">
      <c r="A23" s="13">
        <v>21</v>
      </c>
      <c r="B23" s="7"/>
      <c r="C23" s="6"/>
      <c r="D23" s="7"/>
      <c r="E23" s="7"/>
      <c r="F23" s="7"/>
      <c r="G23" s="7"/>
      <c r="H23" s="9"/>
      <c r="I23" s="9"/>
    </row>
    <row r="24" spans="1:9" x14ac:dyDescent="0.2">
      <c r="A24" s="13">
        <v>22</v>
      </c>
      <c r="B24" s="7"/>
      <c r="C24" s="6"/>
      <c r="D24" s="7"/>
      <c r="E24" s="7"/>
      <c r="F24" s="7"/>
      <c r="G24" s="7"/>
      <c r="H24" s="9"/>
      <c r="I24" s="9"/>
    </row>
    <row r="25" spans="1:9" x14ac:dyDescent="0.2">
      <c r="A25" s="13">
        <v>23</v>
      </c>
      <c r="B25" s="7"/>
      <c r="C25" s="6"/>
      <c r="D25" s="7"/>
      <c r="E25" s="7"/>
      <c r="F25" s="7"/>
      <c r="G25" s="7"/>
      <c r="H25" s="9"/>
      <c r="I25" s="9"/>
    </row>
    <row r="26" spans="1:9" x14ac:dyDescent="0.2">
      <c r="A26" s="13">
        <v>24</v>
      </c>
      <c r="B26" s="7"/>
      <c r="C26" s="6"/>
      <c r="D26" s="7"/>
      <c r="E26" s="7"/>
      <c r="F26" s="7"/>
      <c r="G26" s="7"/>
      <c r="H26" s="9"/>
      <c r="I26" s="9"/>
    </row>
    <row r="27" spans="1:9" x14ac:dyDescent="0.2">
      <c r="A27" s="13">
        <v>25</v>
      </c>
      <c r="B27" s="7"/>
      <c r="C27" s="6"/>
      <c r="D27" s="7"/>
      <c r="E27" s="7"/>
      <c r="F27" s="7"/>
      <c r="G27" s="7"/>
      <c r="H27" s="9"/>
      <c r="I27" s="9"/>
    </row>
    <row r="28" spans="1:9" x14ac:dyDescent="0.2">
      <c r="A28" s="13">
        <v>26</v>
      </c>
      <c r="B28" s="7"/>
      <c r="C28" s="6"/>
      <c r="D28" s="7"/>
      <c r="E28" s="7"/>
      <c r="F28" s="7"/>
      <c r="G28" s="7"/>
      <c r="H28" s="9"/>
      <c r="I28" s="9"/>
    </row>
    <row r="29" spans="1:9" x14ac:dyDescent="0.2">
      <c r="A29" s="13">
        <v>27</v>
      </c>
      <c r="B29" s="7"/>
      <c r="C29" s="6"/>
      <c r="D29" s="7"/>
      <c r="E29" s="7"/>
      <c r="F29" s="7"/>
      <c r="G29" s="7"/>
      <c r="H29" s="9"/>
      <c r="I29" s="9"/>
    </row>
    <row r="30" spans="1:9" x14ac:dyDescent="0.2">
      <c r="A30" s="13">
        <v>28</v>
      </c>
      <c r="B30" s="7"/>
      <c r="C30" s="6"/>
      <c r="D30" s="7"/>
      <c r="E30" s="7"/>
      <c r="F30" s="7"/>
      <c r="G30" s="7"/>
      <c r="H30" s="9"/>
      <c r="I30" s="9"/>
    </row>
    <row r="31" spans="1:9" x14ac:dyDescent="0.2">
      <c r="A31" s="13">
        <v>29</v>
      </c>
      <c r="B31" s="7"/>
      <c r="C31" s="6"/>
      <c r="D31" s="7"/>
      <c r="E31" s="7"/>
      <c r="F31" s="7"/>
      <c r="G31" s="7"/>
      <c r="H31" s="9"/>
      <c r="I31" s="9"/>
    </row>
    <row r="32" spans="1:9" x14ac:dyDescent="0.2">
      <c r="A32" s="13">
        <v>30</v>
      </c>
      <c r="B32" s="7"/>
      <c r="C32" s="6"/>
      <c r="D32" s="7"/>
      <c r="E32" s="7"/>
      <c r="F32" s="7"/>
      <c r="G32" s="7"/>
      <c r="H32" s="9"/>
      <c r="I32" s="9"/>
    </row>
    <row r="33" spans="1:9" x14ac:dyDescent="0.2">
      <c r="A33" s="13">
        <v>31</v>
      </c>
      <c r="B33" s="7"/>
      <c r="C33" s="6"/>
      <c r="D33" s="7"/>
      <c r="E33" s="7"/>
      <c r="F33" s="7"/>
      <c r="G33" s="7"/>
      <c r="H33" s="9"/>
      <c r="I33" s="9"/>
    </row>
    <row r="34" spans="1:9" x14ac:dyDescent="0.2">
      <c r="A34" s="13">
        <v>32</v>
      </c>
      <c r="B34" s="7"/>
      <c r="C34" s="6"/>
      <c r="D34" s="7"/>
      <c r="E34" s="7"/>
      <c r="F34" s="7"/>
      <c r="G34" s="7"/>
      <c r="H34" s="9"/>
      <c r="I34" s="9"/>
    </row>
    <row r="35" spans="1:9" x14ac:dyDescent="0.2">
      <c r="A35" s="13">
        <v>33</v>
      </c>
      <c r="B35" s="7"/>
      <c r="C35" s="6"/>
      <c r="D35" s="7"/>
      <c r="E35" s="7"/>
      <c r="F35" s="7"/>
      <c r="G35" s="7"/>
      <c r="H35" s="9"/>
      <c r="I35" s="9"/>
    </row>
    <row r="36" spans="1:9" x14ac:dyDescent="0.2">
      <c r="A36" s="13">
        <v>34</v>
      </c>
      <c r="B36" s="7"/>
      <c r="C36" s="6"/>
      <c r="D36" s="7"/>
      <c r="E36" s="7"/>
      <c r="F36" s="7"/>
      <c r="G36" s="7"/>
      <c r="H36" s="9"/>
      <c r="I36" s="9"/>
    </row>
    <row r="37" spans="1:9" x14ac:dyDescent="0.2">
      <c r="A37" s="13">
        <v>35</v>
      </c>
      <c r="B37" s="7"/>
      <c r="C37" s="6"/>
      <c r="D37" s="7"/>
      <c r="E37" s="7"/>
      <c r="F37" s="7"/>
      <c r="G37" s="7"/>
      <c r="H37" s="9"/>
      <c r="I37" s="9"/>
    </row>
    <row r="38" spans="1:9" x14ac:dyDescent="0.2">
      <c r="A38" s="13">
        <v>36</v>
      </c>
      <c r="B38" s="7"/>
      <c r="C38" s="6"/>
      <c r="D38" s="7"/>
      <c r="E38" s="7"/>
      <c r="F38" s="7"/>
      <c r="G38" s="7"/>
      <c r="H38" s="9"/>
      <c r="I38" s="9"/>
    </row>
    <row r="39" spans="1:9" x14ac:dyDescent="0.2">
      <c r="A39" s="13">
        <v>37</v>
      </c>
      <c r="B39" s="7"/>
      <c r="C39" s="6"/>
      <c r="D39" s="7"/>
      <c r="E39" s="7"/>
      <c r="F39" s="7"/>
      <c r="G39" s="7"/>
      <c r="H39" s="9"/>
      <c r="I39" s="9"/>
    </row>
    <row r="40" spans="1:9" x14ac:dyDescent="0.2">
      <c r="A40" s="13">
        <v>38</v>
      </c>
      <c r="B40" s="7"/>
      <c r="C40" s="6"/>
      <c r="D40" s="7"/>
      <c r="E40" s="7"/>
      <c r="F40" s="7"/>
      <c r="G40" s="7"/>
      <c r="H40" s="9"/>
      <c r="I40" s="9"/>
    </row>
    <row r="41" spans="1:9" x14ac:dyDescent="0.2">
      <c r="A41" s="13">
        <v>39</v>
      </c>
      <c r="B41" s="7"/>
      <c r="C41" s="6"/>
      <c r="D41" s="7"/>
      <c r="E41" s="7"/>
      <c r="F41" s="7"/>
      <c r="G41" s="7"/>
      <c r="H41" s="9"/>
      <c r="I41" s="9"/>
    </row>
    <row r="42" spans="1:9" x14ac:dyDescent="0.2">
      <c r="A42" s="13">
        <v>40</v>
      </c>
      <c r="B42" s="7"/>
      <c r="C42" s="6"/>
      <c r="D42" s="7"/>
      <c r="E42" s="7"/>
      <c r="F42" s="7"/>
      <c r="G42" s="7"/>
      <c r="H42" s="9"/>
      <c r="I42" s="9"/>
    </row>
    <row r="43" spans="1:9" x14ac:dyDescent="0.2">
      <c r="A43" s="13">
        <v>41</v>
      </c>
      <c r="B43" s="7"/>
      <c r="C43" s="6"/>
      <c r="D43" s="7"/>
      <c r="E43" s="7"/>
      <c r="F43" s="7"/>
      <c r="G43" s="7"/>
      <c r="H43" s="9"/>
      <c r="I43" s="9"/>
    </row>
    <row r="44" spans="1:9" x14ac:dyDescent="0.2">
      <c r="A44" s="13">
        <v>42</v>
      </c>
      <c r="B44" s="7"/>
      <c r="C44" s="6"/>
      <c r="D44" s="7"/>
      <c r="E44" s="7"/>
      <c r="F44" s="7"/>
      <c r="G44" s="7"/>
      <c r="H44" s="9"/>
      <c r="I44" s="9"/>
    </row>
    <row r="45" spans="1:9" x14ac:dyDescent="0.2">
      <c r="A45" s="13">
        <v>43</v>
      </c>
      <c r="B45" s="7"/>
      <c r="C45" s="6"/>
      <c r="D45" s="7"/>
      <c r="E45" s="7"/>
      <c r="F45" s="7"/>
      <c r="G45" s="7"/>
      <c r="H45" s="9"/>
      <c r="I45" s="9"/>
    </row>
    <row r="46" spans="1:9" x14ac:dyDescent="0.2">
      <c r="A46" s="13">
        <v>44</v>
      </c>
      <c r="B46" s="7"/>
      <c r="C46" s="6"/>
      <c r="D46" s="7"/>
      <c r="E46" s="7"/>
      <c r="F46" s="7"/>
      <c r="G46" s="7"/>
      <c r="H46" s="9"/>
      <c r="I46" s="9"/>
    </row>
    <row r="47" spans="1:9" x14ac:dyDescent="0.2">
      <c r="A47" s="13">
        <v>45</v>
      </c>
      <c r="B47" s="7"/>
      <c r="C47" s="6"/>
      <c r="D47" s="7"/>
      <c r="E47" s="7"/>
      <c r="F47" s="7"/>
      <c r="G47" s="7"/>
      <c r="H47" s="9"/>
      <c r="I47" s="9"/>
    </row>
    <row r="48" spans="1:9" x14ac:dyDescent="0.2">
      <c r="A48" s="13">
        <v>46</v>
      </c>
      <c r="B48" s="7"/>
      <c r="C48" s="6"/>
      <c r="D48" s="7"/>
      <c r="E48" s="7"/>
      <c r="F48" s="7"/>
      <c r="G48" s="7"/>
      <c r="H48" s="9"/>
      <c r="I48" s="9"/>
    </row>
    <row r="49" spans="1:9" x14ac:dyDescent="0.2">
      <c r="A49" s="13">
        <v>47</v>
      </c>
      <c r="B49" s="7"/>
      <c r="C49" s="6"/>
      <c r="D49" s="7"/>
      <c r="E49" s="7"/>
      <c r="F49" s="7"/>
      <c r="G49" s="7"/>
      <c r="H49" s="9"/>
      <c r="I49" s="9"/>
    </row>
    <row r="50" spans="1:9" x14ac:dyDescent="0.2">
      <c r="A50" s="13">
        <v>48</v>
      </c>
      <c r="B50" s="7"/>
      <c r="C50" s="6"/>
      <c r="D50" s="7"/>
      <c r="E50" s="7"/>
      <c r="F50" s="7"/>
      <c r="G50" s="7"/>
      <c r="H50" s="9"/>
      <c r="I50" s="9"/>
    </row>
    <row r="51" spans="1:9" x14ac:dyDescent="0.2">
      <c r="A51" s="13">
        <v>49</v>
      </c>
      <c r="B51" s="7"/>
      <c r="C51" s="6"/>
      <c r="D51" s="7"/>
      <c r="E51" s="7"/>
      <c r="F51" s="7"/>
      <c r="G51" s="7"/>
      <c r="H51" s="9"/>
      <c r="I51" s="9"/>
    </row>
    <row r="52" spans="1:9" x14ac:dyDescent="0.2">
      <c r="A52" s="13">
        <v>50</v>
      </c>
      <c r="B52" s="7"/>
      <c r="C52" s="6"/>
      <c r="D52" s="7"/>
      <c r="E52" s="7"/>
      <c r="F52" s="7"/>
      <c r="G52" s="7"/>
      <c r="H52" s="9"/>
      <c r="I52" s="9"/>
    </row>
    <row r="53" spans="1:9" x14ac:dyDescent="0.2">
      <c r="A53" s="13">
        <v>51</v>
      </c>
      <c r="B53" s="7"/>
      <c r="C53" s="6"/>
      <c r="D53" s="7"/>
      <c r="E53" s="7"/>
      <c r="F53" s="7"/>
      <c r="G53" s="7"/>
      <c r="H53" s="9"/>
      <c r="I53" s="9"/>
    </row>
    <row r="54" spans="1:9" x14ac:dyDescent="0.2">
      <c r="A54" s="13">
        <v>52</v>
      </c>
      <c r="B54" s="7"/>
      <c r="C54" s="6"/>
      <c r="D54" s="15"/>
      <c r="E54" s="15"/>
      <c r="F54" s="7"/>
      <c r="G54" s="7"/>
      <c r="H54" s="10"/>
      <c r="I54" s="9"/>
    </row>
    <row r="55" spans="1:9" x14ac:dyDescent="0.2">
      <c r="A55" s="13">
        <v>53</v>
      </c>
      <c r="B55" s="7"/>
      <c r="C55" s="6"/>
      <c r="D55" s="15"/>
      <c r="E55" s="15"/>
      <c r="F55" s="7"/>
      <c r="G55" s="7"/>
      <c r="H55" s="10"/>
      <c r="I55" s="9"/>
    </row>
    <row r="56" spans="1:9" x14ac:dyDescent="0.2">
      <c r="A56" s="13">
        <v>54</v>
      </c>
      <c r="B56" s="7"/>
      <c r="C56" s="6"/>
      <c r="D56" s="15"/>
      <c r="E56" s="15"/>
      <c r="F56" s="7"/>
      <c r="G56" s="7"/>
      <c r="H56" s="9"/>
      <c r="I56" s="9"/>
    </row>
    <row r="57" spans="1:9" x14ac:dyDescent="0.2">
      <c r="A57" s="17">
        <v>55</v>
      </c>
      <c r="B57" s="18"/>
      <c r="C57" s="19"/>
      <c r="D57" s="15"/>
      <c r="E57" s="15"/>
      <c r="F57" s="18"/>
      <c r="G57" s="18"/>
      <c r="H57" s="10"/>
      <c r="I57" s="20"/>
    </row>
    <row r="58" spans="1:9" x14ac:dyDescent="0.2">
      <c r="A58" s="13">
        <v>56</v>
      </c>
      <c r="B58" s="7"/>
      <c r="C58" s="7"/>
      <c r="D58" s="7"/>
      <c r="E58" s="7"/>
      <c r="F58" s="7"/>
      <c r="G58" s="7"/>
      <c r="H58" s="9"/>
      <c r="I58" s="9"/>
    </row>
    <row r="59" spans="1:9" x14ac:dyDescent="0.2">
      <c r="A59" s="13">
        <v>57</v>
      </c>
      <c r="B59" s="7"/>
      <c r="C59" s="7"/>
      <c r="D59" s="7"/>
      <c r="E59" s="7"/>
      <c r="F59" s="7"/>
      <c r="G59" s="7"/>
      <c r="H59" s="9"/>
      <c r="I59" s="9"/>
    </row>
    <row r="60" spans="1:9" x14ac:dyDescent="0.2">
      <c r="A60" s="13">
        <v>58</v>
      </c>
      <c r="B60" s="7"/>
      <c r="C60" s="7"/>
      <c r="D60" s="7"/>
      <c r="E60" s="7"/>
      <c r="F60" s="7"/>
      <c r="G60" s="7"/>
      <c r="H60" s="9"/>
      <c r="I60" s="9"/>
    </row>
    <row r="61" spans="1:9" x14ac:dyDescent="0.2">
      <c r="A61" s="13">
        <v>59</v>
      </c>
      <c r="B61" s="7"/>
      <c r="C61" s="7"/>
      <c r="D61" s="7"/>
      <c r="E61" s="7"/>
      <c r="F61" s="7"/>
      <c r="G61" s="7"/>
      <c r="H61" s="9"/>
      <c r="I61" s="9"/>
    </row>
    <row r="62" spans="1:9" x14ac:dyDescent="0.2">
      <c r="A62" s="13">
        <v>60</v>
      </c>
      <c r="B62" s="7"/>
      <c r="C62" s="7"/>
      <c r="D62" s="7"/>
      <c r="E62" s="7"/>
      <c r="F62" s="7"/>
      <c r="G62" s="7"/>
      <c r="H62" s="9"/>
      <c r="I62" s="9"/>
    </row>
    <row r="63" spans="1:9" x14ac:dyDescent="0.2">
      <c r="A63" s="13">
        <v>61</v>
      </c>
      <c r="B63" s="7"/>
      <c r="C63" s="7"/>
      <c r="D63" s="7"/>
      <c r="E63" s="7"/>
      <c r="F63" s="7"/>
      <c r="G63" s="7"/>
      <c r="H63" s="9"/>
      <c r="I63" s="9"/>
    </row>
    <row r="64" spans="1:9" x14ac:dyDescent="0.2">
      <c r="A64" s="13">
        <v>67</v>
      </c>
      <c r="B64" s="7"/>
      <c r="C64" s="7"/>
      <c r="D64" s="7"/>
      <c r="E64" s="7"/>
      <c r="F64" s="7"/>
      <c r="G64" s="7"/>
      <c r="H64" s="9"/>
      <c r="I64" s="9"/>
    </row>
    <row r="65" spans="1:9" x14ac:dyDescent="0.2">
      <c r="A65" s="13">
        <v>68</v>
      </c>
      <c r="B65" s="7"/>
      <c r="C65" s="7"/>
      <c r="D65" s="7"/>
      <c r="E65" s="7"/>
      <c r="F65" s="7"/>
      <c r="G65" s="7"/>
      <c r="H65" s="9"/>
      <c r="I65" s="9"/>
    </row>
    <row r="66" spans="1:9" x14ac:dyDescent="0.2">
      <c r="A66" s="13">
        <v>69</v>
      </c>
      <c r="B66" s="7"/>
      <c r="C66" s="7"/>
      <c r="D66" s="7"/>
      <c r="E66" s="7"/>
      <c r="F66" s="7"/>
      <c r="G66" s="7"/>
      <c r="H66" s="9"/>
      <c r="I66" s="9"/>
    </row>
    <row r="67" spans="1:9" x14ac:dyDescent="0.2">
      <c r="A67" s="13">
        <v>70</v>
      </c>
      <c r="B67" s="7"/>
      <c r="C67" s="7"/>
      <c r="D67" s="7"/>
      <c r="E67" s="7"/>
      <c r="F67" s="7"/>
      <c r="G67" s="7"/>
      <c r="H67" s="9"/>
      <c r="I67" s="9"/>
    </row>
    <row r="68" spans="1:9" x14ac:dyDescent="0.2">
      <c r="A68" s="13">
        <v>71</v>
      </c>
      <c r="B68" s="7"/>
      <c r="C68" s="7"/>
      <c r="D68" s="7"/>
      <c r="E68" s="7"/>
      <c r="F68" s="7"/>
      <c r="G68" s="7"/>
      <c r="H68" s="9"/>
      <c r="I68" s="9"/>
    </row>
    <row r="69" spans="1:9" x14ac:dyDescent="0.2">
      <c r="A69" s="13">
        <v>72</v>
      </c>
      <c r="B69" s="7"/>
      <c r="C69" s="7"/>
      <c r="D69" s="7"/>
      <c r="E69" s="7"/>
      <c r="F69" s="7"/>
      <c r="G69" s="7"/>
      <c r="H69" s="9"/>
      <c r="I69" s="9"/>
    </row>
    <row r="70" spans="1:9" x14ac:dyDescent="0.2">
      <c r="A70" s="13">
        <v>73</v>
      </c>
      <c r="B70" s="7"/>
      <c r="C70" s="7"/>
      <c r="D70" s="7"/>
      <c r="E70" s="7"/>
      <c r="F70" s="7"/>
      <c r="G70" s="7"/>
      <c r="H70" s="9"/>
      <c r="I70" s="9"/>
    </row>
    <row r="71" spans="1:9" x14ac:dyDescent="0.2">
      <c r="A71" s="13">
        <v>74</v>
      </c>
      <c r="B71" s="7"/>
      <c r="C71" s="7"/>
      <c r="D71" s="7"/>
      <c r="E71" s="7"/>
      <c r="F71" s="7"/>
      <c r="G71" s="7"/>
      <c r="H71" s="9"/>
      <c r="I71" s="9"/>
    </row>
    <row r="72" spans="1:9" x14ac:dyDescent="0.2">
      <c r="A72" s="13">
        <v>75</v>
      </c>
      <c r="B72" s="7"/>
      <c r="C72" s="7"/>
      <c r="D72" s="7"/>
      <c r="E72" s="7"/>
      <c r="F72" s="7"/>
      <c r="G72" s="7"/>
      <c r="H72" s="9"/>
      <c r="I72" s="9"/>
    </row>
    <row r="73" spans="1:9" x14ac:dyDescent="0.2">
      <c r="A73" s="13">
        <v>76</v>
      </c>
      <c r="B73" s="7"/>
      <c r="C73" s="7"/>
      <c r="D73" s="7"/>
      <c r="E73" s="7"/>
      <c r="F73" s="7"/>
      <c r="G73" s="7"/>
      <c r="H73" s="9"/>
      <c r="I73" s="9"/>
    </row>
    <row r="74" spans="1:9" x14ac:dyDescent="0.2">
      <c r="A74" s="13">
        <v>77</v>
      </c>
      <c r="B74" s="7"/>
      <c r="C74" s="7"/>
      <c r="D74" s="7"/>
      <c r="E74" s="7"/>
      <c r="F74" s="7"/>
      <c r="G74" s="7"/>
      <c r="H74" s="9"/>
      <c r="I74" s="9"/>
    </row>
    <row r="75" spans="1:9" x14ac:dyDescent="0.2">
      <c r="A75" s="13">
        <v>78</v>
      </c>
      <c r="B75" s="7"/>
      <c r="C75" s="7"/>
      <c r="D75" s="7"/>
      <c r="E75" s="7"/>
      <c r="F75" s="7"/>
      <c r="G75" s="7"/>
      <c r="H75" s="9"/>
      <c r="I75" s="9"/>
    </row>
    <row r="76" spans="1:9" x14ac:dyDescent="0.2">
      <c r="A76" s="13">
        <v>79</v>
      </c>
      <c r="B76" s="7"/>
      <c r="C76" s="7"/>
      <c r="D76" s="7"/>
      <c r="E76" s="7"/>
      <c r="F76" s="7"/>
      <c r="G76" s="7"/>
      <c r="H76" s="9"/>
      <c r="I76" s="9"/>
    </row>
    <row r="77" spans="1:9" x14ac:dyDescent="0.2">
      <c r="A77" s="13">
        <v>80</v>
      </c>
      <c r="B77" s="7"/>
      <c r="C77" s="7"/>
      <c r="D77" s="7"/>
      <c r="E77" s="7"/>
      <c r="F77" s="7"/>
      <c r="G77" s="7"/>
      <c r="H77" s="9"/>
      <c r="I77" s="9"/>
    </row>
    <row r="78" spans="1:9" x14ac:dyDescent="0.2">
      <c r="A78" s="13">
        <v>81</v>
      </c>
      <c r="B78" s="7"/>
      <c r="C78" s="7"/>
      <c r="D78" s="7"/>
      <c r="E78" s="7"/>
      <c r="F78" s="7"/>
      <c r="G78" s="7"/>
      <c r="H78" s="9"/>
      <c r="I78" s="9"/>
    </row>
    <row r="79" spans="1:9" x14ac:dyDescent="0.2">
      <c r="A79" s="13">
        <v>82</v>
      </c>
      <c r="B79" s="7"/>
      <c r="C79" s="7"/>
      <c r="D79" s="7"/>
      <c r="E79" s="7"/>
      <c r="F79" s="7"/>
      <c r="G79" s="7"/>
      <c r="H79" s="9"/>
      <c r="I79" s="9"/>
    </row>
    <row r="80" spans="1:9" x14ac:dyDescent="0.2">
      <c r="A80" s="13">
        <v>83</v>
      </c>
      <c r="B80" s="7"/>
      <c r="C80" s="7"/>
      <c r="D80" s="7"/>
      <c r="E80" s="7"/>
      <c r="F80" s="7"/>
      <c r="G80" s="7"/>
      <c r="H80" s="9"/>
      <c r="I80" s="9"/>
    </row>
    <row r="81" spans="1:9" x14ac:dyDescent="0.2">
      <c r="A81" s="13">
        <v>84</v>
      </c>
      <c r="B81" s="7"/>
      <c r="C81" s="7"/>
      <c r="D81" s="7"/>
      <c r="E81" s="7"/>
      <c r="F81" s="7"/>
      <c r="G81" s="7"/>
      <c r="H81" s="9"/>
      <c r="I81" s="9"/>
    </row>
    <row r="82" spans="1:9" x14ac:dyDescent="0.2">
      <c r="A82" s="13">
        <v>85</v>
      </c>
      <c r="B82" s="7"/>
      <c r="C82" s="7"/>
      <c r="D82" s="7"/>
      <c r="E82" s="7"/>
      <c r="F82" s="7"/>
      <c r="G82" s="7"/>
      <c r="H82" s="9"/>
      <c r="I82" s="9"/>
    </row>
    <row r="83" spans="1:9" x14ac:dyDescent="0.2">
      <c r="A83" s="13">
        <v>86</v>
      </c>
      <c r="B83" s="7"/>
      <c r="C83" s="7"/>
      <c r="D83" s="7"/>
      <c r="E83" s="7"/>
      <c r="F83" s="7"/>
      <c r="G83" s="7"/>
      <c r="H83" s="9"/>
      <c r="I83" s="9"/>
    </row>
    <row r="84" spans="1:9" x14ac:dyDescent="0.2">
      <c r="A84" s="13">
        <v>87</v>
      </c>
      <c r="B84" s="7"/>
      <c r="C84" s="7"/>
      <c r="D84" s="7"/>
      <c r="E84" s="7"/>
      <c r="F84" s="7"/>
      <c r="G84" s="7"/>
      <c r="H84" s="9"/>
      <c r="I84" s="9"/>
    </row>
    <row r="85" spans="1:9" x14ac:dyDescent="0.2">
      <c r="A85" s="13">
        <v>88</v>
      </c>
      <c r="B85" s="7"/>
      <c r="C85" s="7"/>
      <c r="D85" s="7"/>
      <c r="E85" s="7"/>
      <c r="F85" s="7"/>
      <c r="G85" s="7"/>
      <c r="H85" s="9"/>
      <c r="I85" s="9"/>
    </row>
    <row r="86" spans="1:9" x14ac:dyDescent="0.2">
      <c r="A86" s="13">
        <v>89</v>
      </c>
      <c r="B86" s="7"/>
      <c r="C86" s="7"/>
      <c r="D86" s="7"/>
      <c r="E86" s="7"/>
      <c r="F86" s="7"/>
      <c r="G86" s="7"/>
      <c r="H86" s="9"/>
      <c r="I86" s="9"/>
    </row>
    <row r="87" spans="1:9" x14ac:dyDescent="0.2">
      <c r="A87" s="13">
        <v>90</v>
      </c>
      <c r="B87" s="7"/>
      <c r="C87" s="7"/>
      <c r="D87" s="7"/>
      <c r="E87" s="7"/>
      <c r="F87" s="7"/>
      <c r="G87" s="7"/>
      <c r="H87" s="9"/>
      <c r="I87" s="9"/>
    </row>
    <row r="88" spans="1:9" x14ac:dyDescent="0.2">
      <c r="A88" s="13">
        <v>91</v>
      </c>
      <c r="B88" s="7"/>
      <c r="C88" s="7"/>
      <c r="D88" s="7"/>
      <c r="E88" s="7"/>
      <c r="F88" s="7"/>
      <c r="G88" s="7"/>
      <c r="H88" s="9"/>
      <c r="I88" s="9"/>
    </row>
    <row r="89" spans="1:9" x14ac:dyDescent="0.2">
      <c r="A89" s="13">
        <v>92</v>
      </c>
      <c r="B89" s="7"/>
      <c r="C89" s="7"/>
      <c r="D89" s="7"/>
      <c r="E89" s="7"/>
      <c r="F89" s="7"/>
      <c r="G89" s="7"/>
      <c r="H89" s="9"/>
      <c r="I89" s="9"/>
    </row>
    <row r="90" spans="1:9" x14ac:dyDescent="0.2">
      <c r="A90" s="13">
        <v>93</v>
      </c>
      <c r="B90" s="7"/>
      <c r="C90" s="7"/>
      <c r="D90" s="7"/>
      <c r="E90" s="7"/>
      <c r="F90" s="7"/>
      <c r="G90" s="7"/>
      <c r="H90" s="9"/>
      <c r="I90" s="9"/>
    </row>
    <row r="91" spans="1:9" x14ac:dyDescent="0.2">
      <c r="A91" s="13"/>
      <c r="B91" s="7"/>
      <c r="C91" s="7"/>
      <c r="D91" s="7"/>
      <c r="E91" s="7"/>
      <c r="F91" s="7"/>
      <c r="G91" s="7"/>
      <c r="H91" s="9"/>
      <c r="I91" s="9"/>
    </row>
    <row r="92" spans="1:9" x14ac:dyDescent="0.2">
      <c r="A92" s="13"/>
      <c r="B92" s="7"/>
      <c r="C92" s="7"/>
      <c r="D92" s="7"/>
      <c r="E92" s="7"/>
      <c r="F92" s="7"/>
      <c r="G92" s="7"/>
      <c r="H92" s="9"/>
      <c r="I92" s="9"/>
    </row>
    <row r="93" spans="1:9" x14ac:dyDescent="0.2">
      <c r="A93" s="13"/>
      <c r="B93" s="7"/>
      <c r="C93" s="7"/>
      <c r="D93" s="7"/>
      <c r="E93" s="7"/>
      <c r="F93" s="7"/>
      <c r="G93" s="7"/>
      <c r="H93" s="9"/>
      <c r="I93" s="9"/>
    </row>
    <row r="94" spans="1:9" x14ac:dyDescent="0.2">
      <c r="A94" s="13"/>
      <c r="B94" s="7"/>
      <c r="C94" s="7"/>
      <c r="D94" s="7"/>
      <c r="E94" s="7"/>
      <c r="F94" s="7"/>
      <c r="G94" s="7"/>
      <c r="H94" s="9"/>
      <c r="I94" s="9"/>
    </row>
    <row r="95" spans="1:9" x14ac:dyDescent="0.2">
      <c r="B95" s="15"/>
      <c r="C95" s="15"/>
      <c r="D95" s="15"/>
      <c r="E95" s="15"/>
      <c r="F95" s="15"/>
      <c r="G95" s="15"/>
      <c r="H95" s="10"/>
      <c r="I95" s="10"/>
    </row>
    <row r="96" spans="1:9" x14ac:dyDescent="0.2">
      <c r="B96" s="15"/>
      <c r="C96" s="15"/>
      <c r="D96" s="15"/>
      <c r="E96" s="15"/>
      <c r="F96" s="15"/>
      <c r="G96" s="15"/>
      <c r="H96" s="10"/>
      <c r="I96" s="10"/>
    </row>
    <row r="97" spans="2:9" x14ac:dyDescent="0.2">
      <c r="B97" s="15"/>
      <c r="C97" s="15"/>
      <c r="D97" s="15"/>
      <c r="E97" s="15"/>
      <c r="F97" s="15"/>
      <c r="G97" s="15"/>
      <c r="H97" s="10"/>
      <c r="I97" s="10"/>
    </row>
    <row r="98" spans="2:9" x14ac:dyDescent="0.2">
      <c r="B98" s="15"/>
      <c r="C98" s="15"/>
      <c r="D98" s="15"/>
      <c r="E98" s="15"/>
      <c r="F98" s="15"/>
      <c r="G98" s="15"/>
      <c r="H98" s="10"/>
      <c r="I98" s="10"/>
    </row>
    <row r="99" spans="2:9" x14ac:dyDescent="0.2">
      <c r="B99" s="15"/>
      <c r="C99" s="15"/>
      <c r="D99" s="15"/>
      <c r="E99" s="15"/>
      <c r="F99" s="15"/>
      <c r="G99" s="15"/>
      <c r="H99" s="10"/>
      <c r="I99" s="10"/>
    </row>
    <row r="100" spans="2:9" x14ac:dyDescent="0.2">
      <c r="B100" s="15"/>
      <c r="C100" s="15"/>
      <c r="D100" s="15"/>
      <c r="E100" s="15"/>
      <c r="F100" s="15"/>
      <c r="G100" s="15"/>
      <c r="H100" s="10"/>
      <c r="I100" s="10"/>
    </row>
    <row r="101" spans="2:9" x14ac:dyDescent="0.2">
      <c r="B101" s="15"/>
      <c r="C101" s="15"/>
      <c r="D101" s="15"/>
      <c r="E101" s="15"/>
      <c r="F101" s="15"/>
      <c r="G101" s="15"/>
      <c r="H101" s="10"/>
      <c r="I101" s="10"/>
    </row>
    <row r="102" spans="2:9" x14ac:dyDescent="0.2">
      <c r="B102" s="15"/>
      <c r="C102" s="15"/>
      <c r="D102" s="15"/>
      <c r="E102" s="15"/>
      <c r="F102" s="15"/>
      <c r="G102" s="15"/>
      <c r="H102" s="10"/>
      <c r="I102" s="10"/>
    </row>
    <row r="103" spans="2:9" x14ac:dyDescent="0.2">
      <c r="B103" s="15"/>
      <c r="C103" s="15"/>
      <c r="D103" s="15"/>
      <c r="E103" s="15"/>
      <c r="F103" s="15"/>
      <c r="G103" s="15"/>
      <c r="H103" s="10"/>
      <c r="I103" s="10"/>
    </row>
    <row r="104" spans="2:9" x14ac:dyDescent="0.2">
      <c r="B104" s="15"/>
      <c r="C104" s="15"/>
      <c r="D104" s="15"/>
      <c r="E104" s="15"/>
      <c r="F104" s="15"/>
      <c r="G104" s="15"/>
      <c r="H104" s="10"/>
      <c r="I104" s="10"/>
    </row>
    <row r="105" spans="2:9" x14ac:dyDescent="0.2">
      <c r="B105" s="15"/>
      <c r="C105" s="15"/>
      <c r="D105" s="15"/>
      <c r="E105" s="15"/>
      <c r="F105" s="15"/>
      <c r="G105" s="15"/>
      <c r="H105" s="10"/>
      <c r="I105" s="10"/>
    </row>
    <row r="106" spans="2:9" x14ac:dyDescent="0.2">
      <c r="B106" s="15"/>
      <c r="C106" s="15"/>
      <c r="D106" s="15"/>
      <c r="E106" s="15"/>
      <c r="F106" s="15"/>
      <c r="G106" s="15"/>
      <c r="H106" s="9"/>
      <c r="I106" s="9"/>
    </row>
    <row r="107" spans="2:9" x14ac:dyDescent="0.2">
      <c r="B107" s="15"/>
      <c r="C107" s="15"/>
      <c r="D107" s="15"/>
      <c r="E107" s="15"/>
      <c r="F107" s="15"/>
      <c r="G107" s="15"/>
      <c r="H107" s="9"/>
      <c r="I107" s="9"/>
    </row>
    <row r="108" spans="2:9" x14ac:dyDescent="0.2">
      <c r="B108" s="15"/>
      <c r="C108" s="15"/>
      <c r="D108" s="15"/>
      <c r="E108" s="15"/>
      <c r="F108" s="15"/>
      <c r="G108" s="15"/>
      <c r="H108" s="9"/>
      <c r="I108" s="9"/>
    </row>
    <row r="109" spans="2:9" x14ac:dyDescent="0.2">
      <c r="B109" s="15"/>
      <c r="C109" s="15"/>
      <c r="D109" s="15"/>
      <c r="E109" s="15"/>
      <c r="F109" s="15"/>
      <c r="G109" s="15"/>
      <c r="H109" s="10"/>
      <c r="I109" s="10"/>
    </row>
    <row r="110" spans="2:9" x14ac:dyDescent="0.2">
      <c r="B110" s="15"/>
      <c r="C110" s="15"/>
      <c r="D110" s="15"/>
      <c r="E110" s="15"/>
      <c r="F110" s="15"/>
      <c r="G110" s="15"/>
      <c r="H110" s="10"/>
      <c r="I110" s="10"/>
    </row>
    <row r="111" spans="2:9" x14ac:dyDescent="0.2">
      <c r="B111" s="15"/>
      <c r="C111" s="15"/>
      <c r="D111" s="15"/>
      <c r="E111" s="15"/>
      <c r="F111" s="15"/>
      <c r="G111" s="15"/>
      <c r="H111" s="10"/>
      <c r="I111" s="10"/>
    </row>
    <row r="112" spans="2:9" x14ac:dyDescent="0.2">
      <c r="B112" s="15"/>
      <c r="C112" s="15"/>
      <c r="D112" s="15"/>
      <c r="E112" s="15"/>
      <c r="F112" s="15"/>
      <c r="G112" s="15"/>
      <c r="H112" s="10"/>
      <c r="I112" s="10"/>
    </row>
    <row r="113" spans="2:9" x14ac:dyDescent="0.2">
      <c r="B113" s="15"/>
      <c r="C113" s="15"/>
      <c r="D113" s="15"/>
      <c r="E113" s="15"/>
      <c r="F113" s="15"/>
      <c r="G113" s="15"/>
      <c r="H113" s="10"/>
      <c r="I113" s="10"/>
    </row>
    <row r="114" spans="2:9" x14ac:dyDescent="0.2">
      <c r="B114" s="15"/>
      <c r="C114" s="15"/>
      <c r="D114" s="15"/>
      <c r="E114" s="15"/>
      <c r="F114" s="15"/>
      <c r="G114" s="15"/>
      <c r="H114" s="10"/>
      <c r="I114" s="10"/>
    </row>
    <row r="115" spans="2:9" x14ac:dyDescent="0.2">
      <c r="B115" s="15"/>
      <c r="C115" s="15"/>
      <c r="D115" s="15"/>
      <c r="E115" s="15"/>
      <c r="F115" s="15"/>
      <c r="G115" s="15"/>
      <c r="H115" s="10"/>
      <c r="I115" s="10"/>
    </row>
    <row r="116" spans="2:9" x14ac:dyDescent="0.2">
      <c r="B116" s="15"/>
      <c r="C116" s="15"/>
      <c r="D116" s="15"/>
      <c r="E116" s="15"/>
      <c r="F116" s="15"/>
      <c r="G116" s="15"/>
      <c r="H116" s="10"/>
      <c r="I116" s="10"/>
    </row>
    <row r="117" spans="2:9" x14ac:dyDescent="0.2">
      <c r="B117" s="15"/>
      <c r="C117" s="15"/>
      <c r="D117" s="15"/>
      <c r="E117" s="15"/>
      <c r="F117" s="15"/>
      <c r="G117" s="15"/>
      <c r="H117" s="10"/>
      <c r="I117" s="9"/>
    </row>
    <row r="118" spans="2:9" x14ac:dyDescent="0.2">
      <c r="B118" s="15"/>
      <c r="C118" s="15"/>
      <c r="D118" s="15"/>
      <c r="E118" s="15"/>
      <c r="F118" s="15"/>
      <c r="G118" s="15"/>
      <c r="H118" s="10"/>
      <c r="I118" s="9"/>
    </row>
    <row r="119" spans="2:9" x14ac:dyDescent="0.2">
      <c r="B119" s="15"/>
      <c r="C119" s="15"/>
      <c r="D119" s="15"/>
      <c r="E119" s="15"/>
      <c r="F119" s="15"/>
      <c r="G119" s="15"/>
      <c r="H119" s="10"/>
      <c r="I119" s="9"/>
    </row>
    <row r="120" spans="2:9" x14ac:dyDescent="0.2">
      <c r="B120" s="15"/>
      <c r="C120" s="15"/>
      <c r="D120" s="15"/>
      <c r="E120" s="15"/>
      <c r="F120" s="15"/>
      <c r="G120" s="15"/>
      <c r="H120" s="10"/>
      <c r="I120" s="9"/>
    </row>
    <row r="121" spans="2:9" x14ac:dyDescent="0.2">
      <c r="B121" s="15"/>
      <c r="C121" s="15"/>
      <c r="D121" s="15"/>
      <c r="E121" s="15"/>
      <c r="F121" s="15"/>
      <c r="G121" s="15"/>
      <c r="H121" s="10"/>
      <c r="I121" s="9"/>
    </row>
    <row r="122" spans="2:9" x14ac:dyDescent="0.2">
      <c r="B122" s="15"/>
      <c r="C122" s="15"/>
      <c r="D122" s="15"/>
      <c r="E122" s="15"/>
      <c r="F122" s="15"/>
      <c r="G122" s="15"/>
      <c r="H122" s="10"/>
      <c r="I122" s="9"/>
    </row>
    <row r="123" spans="2:9" x14ac:dyDescent="0.2">
      <c r="B123" s="15"/>
      <c r="C123" s="15"/>
      <c r="D123" s="15"/>
      <c r="E123" s="15"/>
      <c r="F123" s="15"/>
      <c r="G123" s="15"/>
      <c r="H123" s="10"/>
      <c r="I123" s="9"/>
    </row>
    <row r="124" spans="2:9" x14ac:dyDescent="0.2">
      <c r="B124" s="15"/>
      <c r="C124" s="15"/>
      <c r="D124" s="15"/>
      <c r="E124" s="15"/>
      <c r="F124" s="15"/>
      <c r="G124" s="15"/>
      <c r="H124" s="10"/>
      <c r="I124" s="9"/>
    </row>
    <row r="125" spans="2:9" x14ac:dyDescent="0.2">
      <c r="B125" s="15"/>
      <c r="C125" s="15"/>
      <c r="D125" s="15"/>
      <c r="E125" s="15"/>
      <c r="F125" s="15"/>
      <c r="G125" s="15"/>
      <c r="H125" s="10"/>
      <c r="I125" s="9"/>
    </row>
    <row r="126" spans="2:9" x14ac:dyDescent="0.2">
      <c r="B126" s="15"/>
      <c r="C126" s="15"/>
      <c r="D126" s="15"/>
      <c r="E126" s="15"/>
      <c r="F126" s="15"/>
      <c r="G126" s="15"/>
      <c r="H126" s="10"/>
      <c r="I126" s="10"/>
    </row>
    <row r="127" spans="2:9" x14ac:dyDescent="0.2">
      <c r="B127" s="15"/>
      <c r="C127" s="15"/>
      <c r="D127" s="15"/>
      <c r="E127" s="15"/>
      <c r="F127" s="15"/>
      <c r="G127" s="15"/>
      <c r="H127" s="10"/>
      <c r="I127" s="10"/>
    </row>
    <row r="128" spans="2:9" x14ac:dyDescent="0.2">
      <c r="B128" s="15"/>
      <c r="C128" s="15"/>
      <c r="D128" s="15"/>
      <c r="E128" s="15"/>
      <c r="F128" s="15"/>
      <c r="G128" s="15"/>
      <c r="H128" s="10"/>
      <c r="I128" s="10"/>
    </row>
    <row r="129" spans="2:9" x14ac:dyDescent="0.2">
      <c r="B129" s="15"/>
      <c r="C129" s="15"/>
      <c r="D129" s="15"/>
      <c r="E129" s="15"/>
      <c r="F129" s="15"/>
      <c r="G129" s="15"/>
      <c r="H129" s="10"/>
      <c r="I129" s="10"/>
    </row>
    <row r="130" spans="2:9" x14ac:dyDescent="0.2">
      <c r="B130" s="15"/>
      <c r="C130" s="15"/>
      <c r="D130" s="15"/>
      <c r="E130" s="15"/>
      <c r="F130" s="15"/>
      <c r="G130" s="15"/>
      <c r="H130" s="10"/>
      <c r="I130" s="10"/>
    </row>
    <row r="131" spans="2:9" x14ac:dyDescent="0.2">
      <c r="B131" s="15"/>
      <c r="C131" s="15"/>
      <c r="D131" s="15"/>
      <c r="E131" s="15"/>
      <c r="F131" s="15"/>
      <c r="G131" s="15"/>
      <c r="H131" s="10"/>
      <c r="I131" s="10"/>
    </row>
    <row r="132" spans="2:9" x14ac:dyDescent="0.2">
      <c r="B132" s="15"/>
      <c r="C132" s="15"/>
      <c r="D132" s="15"/>
      <c r="E132" s="15"/>
      <c r="F132" s="15"/>
      <c r="G132" s="15"/>
      <c r="H132" s="10"/>
      <c r="I132" s="10"/>
    </row>
    <row r="133" spans="2:9" x14ac:dyDescent="0.2">
      <c r="B133" s="15"/>
      <c r="C133" s="15"/>
      <c r="D133" s="15"/>
      <c r="E133" s="15"/>
      <c r="F133" s="15"/>
      <c r="G133" s="15"/>
      <c r="H133" s="10"/>
      <c r="I133" s="10"/>
    </row>
    <row r="134" spans="2:9" x14ac:dyDescent="0.2">
      <c r="B134" s="15"/>
      <c r="C134" s="15"/>
      <c r="D134" s="15"/>
      <c r="E134" s="15"/>
      <c r="F134" s="15"/>
      <c r="G134" s="15"/>
      <c r="H134" s="10"/>
      <c r="I134" s="10"/>
    </row>
    <row r="135" spans="2:9" x14ac:dyDescent="0.2">
      <c r="B135" s="15"/>
      <c r="C135" s="15"/>
      <c r="D135" s="15"/>
      <c r="E135" s="15"/>
      <c r="F135" s="15"/>
      <c r="G135" s="15"/>
      <c r="H135" s="10"/>
      <c r="I135" s="10"/>
    </row>
    <row r="136" spans="2:9" x14ac:dyDescent="0.2">
      <c r="B136" s="15"/>
      <c r="C136" s="15"/>
      <c r="D136" s="15"/>
      <c r="E136" s="15"/>
      <c r="F136" s="15"/>
      <c r="G136" s="15"/>
      <c r="H136" s="10"/>
      <c r="I136" s="10"/>
    </row>
    <row r="137" spans="2:9" x14ac:dyDescent="0.2">
      <c r="B137" s="15"/>
      <c r="C137" s="15"/>
      <c r="D137" s="15"/>
      <c r="E137" s="15"/>
      <c r="F137" s="15"/>
      <c r="G137" s="15"/>
      <c r="H137" s="10"/>
      <c r="I137" s="10"/>
    </row>
    <row r="138" spans="2:9" x14ac:dyDescent="0.2">
      <c r="B138" s="15"/>
      <c r="C138" s="15"/>
      <c r="D138" s="15"/>
      <c r="E138" s="15"/>
      <c r="F138" s="15"/>
      <c r="G138" s="15"/>
      <c r="H138" s="10"/>
      <c r="I138" s="10"/>
    </row>
    <row r="139" spans="2:9" x14ac:dyDescent="0.2">
      <c r="B139" s="15"/>
      <c r="C139" s="15"/>
      <c r="D139" s="15"/>
      <c r="E139" s="15"/>
      <c r="F139" s="15"/>
      <c r="G139" s="15"/>
      <c r="H139" s="10"/>
      <c r="I139" s="10"/>
    </row>
    <row r="140" spans="2:9" x14ac:dyDescent="0.2">
      <c r="B140" s="15"/>
      <c r="C140" s="15"/>
      <c r="D140" s="15"/>
      <c r="E140" s="15"/>
      <c r="F140" s="15"/>
      <c r="G140" s="15"/>
      <c r="H140" s="10"/>
      <c r="I140" s="10"/>
    </row>
    <row r="141" spans="2:9" x14ac:dyDescent="0.2">
      <c r="B141" s="15"/>
      <c r="C141" s="15"/>
      <c r="D141" s="15"/>
      <c r="E141" s="15"/>
      <c r="F141" s="15"/>
      <c r="G141" s="15"/>
      <c r="H141" s="10"/>
      <c r="I141" s="10"/>
    </row>
    <row r="142" spans="2:9" x14ac:dyDescent="0.2">
      <c r="B142" s="15"/>
      <c r="C142" s="15"/>
      <c r="D142" s="15"/>
      <c r="E142" s="15"/>
      <c r="F142" s="15"/>
      <c r="G142" s="15"/>
      <c r="H142" s="10"/>
      <c r="I142" s="10"/>
    </row>
    <row r="143" spans="2:9" x14ac:dyDescent="0.2">
      <c r="B143" s="15"/>
      <c r="C143" s="15"/>
      <c r="D143" s="15"/>
      <c r="E143" s="15"/>
      <c r="F143" s="15"/>
      <c r="G143" s="15"/>
      <c r="H143" s="10"/>
      <c r="I143" s="10"/>
    </row>
    <row r="144" spans="2:9" x14ac:dyDescent="0.2">
      <c r="B144" s="15"/>
      <c r="C144" s="15"/>
      <c r="D144" s="15"/>
      <c r="E144" s="15"/>
      <c r="F144" s="15"/>
      <c r="G144" s="15"/>
      <c r="H144" s="10"/>
      <c r="I144" s="10"/>
    </row>
    <row r="145" spans="1:9" x14ac:dyDescent="0.2">
      <c r="A145" s="16"/>
      <c r="B145" s="15"/>
      <c r="C145" s="15"/>
      <c r="D145" s="15"/>
      <c r="E145" s="15"/>
      <c r="F145" s="15"/>
      <c r="G145" s="15"/>
      <c r="H145" s="10"/>
      <c r="I145" s="10"/>
    </row>
    <row r="146" spans="1:9" x14ac:dyDescent="0.2">
      <c r="B146" s="15"/>
      <c r="C146" s="15"/>
      <c r="D146" s="15"/>
      <c r="E146" s="15"/>
      <c r="F146" s="15"/>
      <c r="G146" s="15"/>
      <c r="H146" s="10"/>
      <c r="I146" s="10"/>
    </row>
    <row r="147" spans="1:9" x14ac:dyDescent="0.2">
      <c r="B147" s="15"/>
      <c r="C147" s="15"/>
      <c r="D147" s="15"/>
      <c r="E147" s="15"/>
      <c r="F147" s="15"/>
      <c r="G147" s="15"/>
      <c r="H147" s="10"/>
      <c r="I147" s="10"/>
    </row>
    <row r="148" spans="1:9" x14ac:dyDescent="0.2">
      <c r="B148" s="15"/>
      <c r="C148" s="15"/>
      <c r="D148" s="15"/>
      <c r="E148" s="15"/>
      <c r="F148" s="15"/>
      <c r="G148" s="15"/>
      <c r="H148" s="10"/>
      <c r="I148" s="10"/>
    </row>
    <row r="149" spans="1:9" x14ac:dyDescent="0.2">
      <c r="B149" s="15"/>
      <c r="C149" s="15"/>
      <c r="D149" s="15"/>
      <c r="E149" s="15"/>
      <c r="F149" s="15"/>
      <c r="G149" s="15"/>
      <c r="H149" s="10"/>
      <c r="I149" s="10"/>
    </row>
    <row r="150" spans="1:9" x14ac:dyDescent="0.2">
      <c r="B150" s="15"/>
      <c r="C150" s="15"/>
      <c r="D150" s="15"/>
      <c r="E150" s="15"/>
      <c r="F150" s="15"/>
      <c r="G150" s="15"/>
      <c r="H150" s="10"/>
      <c r="I150" s="10"/>
    </row>
    <row r="151" spans="1:9" x14ac:dyDescent="0.2">
      <c r="B151" s="15"/>
      <c r="C151" s="15"/>
      <c r="D151" s="15"/>
      <c r="E151" s="15"/>
      <c r="F151" s="15"/>
      <c r="G151" s="15"/>
      <c r="H151" s="10"/>
      <c r="I151" s="10"/>
    </row>
    <row r="152" spans="1:9" x14ac:dyDescent="0.2">
      <c r="B152" s="15"/>
      <c r="C152" s="15"/>
      <c r="D152" s="15"/>
      <c r="E152" s="15"/>
      <c r="F152" s="15"/>
      <c r="G152" s="15"/>
      <c r="H152" s="10"/>
      <c r="I152" s="10"/>
    </row>
    <row r="153" spans="1:9" x14ac:dyDescent="0.2">
      <c r="B153" s="15"/>
      <c r="C153" s="15"/>
      <c r="D153" s="15"/>
      <c r="E153" s="15"/>
      <c r="F153" s="15"/>
      <c r="G153" s="15"/>
      <c r="H153" s="10"/>
      <c r="I153" s="10"/>
    </row>
    <row r="154" spans="1:9" x14ac:dyDescent="0.2">
      <c r="B154" s="15"/>
      <c r="C154" s="15"/>
      <c r="D154" s="15"/>
      <c r="E154" s="15"/>
      <c r="F154" s="15"/>
      <c r="G154" s="15"/>
      <c r="H154" s="10"/>
      <c r="I154" s="10"/>
    </row>
    <row r="155" spans="1:9" x14ac:dyDescent="0.2">
      <c r="B155" s="15"/>
      <c r="C155" s="15"/>
      <c r="D155" s="15"/>
      <c r="E155" s="15"/>
      <c r="F155" s="15"/>
      <c r="G155" s="15"/>
      <c r="H155" s="10"/>
      <c r="I155" s="10"/>
    </row>
    <row r="156" spans="1:9" x14ac:dyDescent="0.2">
      <c r="B156" s="15"/>
      <c r="C156" s="15"/>
      <c r="D156" s="15"/>
      <c r="E156" s="15"/>
      <c r="F156" s="15"/>
      <c r="G156" s="15"/>
      <c r="H156" s="10"/>
      <c r="I156" s="10"/>
    </row>
    <row r="157" spans="1:9" x14ac:dyDescent="0.2">
      <c r="B157" s="15"/>
      <c r="C157" s="15"/>
      <c r="D157" s="15"/>
      <c r="E157" s="15"/>
      <c r="F157" s="15"/>
      <c r="G157" s="15"/>
      <c r="H157" s="10"/>
      <c r="I157" s="10"/>
    </row>
    <row r="158" spans="1:9" x14ac:dyDescent="0.2">
      <c r="B158" s="15"/>
      <c r="C158" s="15"/>
      <c r="D158" s="15"/>
      <c r="E158" s="15"/>
      <c r="F158" s="15"/>
      <c r="G158" s="15"/>
      <c r="H158" s="10"/>
      <c r="I158" s="10"/>
    </row>
    <row r="159" spans="1:9" x14ac:dyDescent="0.2">
      <c r="B159" s="15"/>
      <c r="C159" s="15"/>
      <c r="D159" s="15"/>
      <c r="E159" s="15"/>
      <c r="F159" s="15"/>
      <c r="G159" s="15"/>
      <c r="H159" s="10"/>
      <c r="I159" s="10"/>
    </row>
    <row r="160" spans="1:9" x14ac:dyDescent="0.2">
      <c r="B160" s="15"/>
      <c r="C160" s="15"/>
      <c r="D160" s="15"/>
      <c r="E160" s="15"/>
      <c r="F160" s="15"/>
      <c r="G160" s="15"/>
      <c r="H160" s="10"/>
      <c r="I160" s="10"/>
    </row>
    <row r="161" spans="2:9" x14ac:dyDescent="0.2">
      <c r="B161" s="15"/>
      <c r="C161" s="15"/>
      <c r="D161" s="15"/>
      <c r="E161" s="15"/>
      <c r="F161" s="15"/>
      <c r="G161" s="15"/>
      <c r="H161" s="10"/>
      <c r="I161" s="10"/>
    </row>
    <row r="162" spans="2:9" x14ac:dyDescent="0.2">
      <c r="B162" s="15"/>
      <c r="C162" s="15"/>
      <c r="D162" s="15"/>
      <c r="E162" s="15"/>
      <c r="F162" s="15"/>
      <c r="G162" s="15"/>
      <c r="H162" s="10"/>
      <c r="I162" s="10"/>
    </row>
    <row r="163" spans="2:9" x14ac:dyDescent="0.2">
      <c r="B163" s="15"/>
      <c r="C163" s="15"/>
      <c r="D163" s="15"/>
      <c r="E163" s="15"/>
      <c r="F163" s="15"/>
      <c r="G163" s="15"/>
      <c r="H163" s="10"/>
      <c r="I163" s="10"/>
    </row>
    <row r="164" spans="2:9" x14ac:dyDescent="0.2">
      <c r="B164" s="15"/>
      <c r="C164" s="15"/>
      <c r="D164" s="15"/>
      <c r="E164" s="15"/>
      <c r="F164" s="15"/>
      <c r="G164" s="15"/>
      <c r="H164" s="10"/>
      <c r="I164" s="10"/>
    </row>
    <row r="165" spans="2:9" x14ac:dyDescent="0.2">
      <c r="B165" s="15"/>
      <c r="C165" s="15"/>
      <c r="D165" s="15"/>
      <c r="E165" s="15"/>
      <c r="F165" s="15"/>
      <c r="G165" s="15"/>
      <c r="H165" s="10"/>
      <c r="I165" s="10"/>
    </row>
    <row r="166" spans="2:9" x14ac:dyDescent="0.2">
      <c r="B166" s="15"/>
      <c r="C166" s="15"/>
      <c r="D166" s="15"/>
      <c r="E166" s="15"/>
      <c r="F166" s="15"/>
      <c r="G166" s="15"/>
      <c r="H166" s="10"/>
      <c r="I166" s="10"/>
    </row>
    <row r="167" spans="2:9" x14ac:dyDescent="0.2">
      <c r="B167" s="15"/>
      <c r="C167" s="15"/>
      <c r="D167" s="15"/>
      <c r="E167" s="15"/>
      <c r="F167" s="15"/>
      <c r="G167" s="15"/>
      <c r="H167" s="10"/>
      <c r="I167" s="10"/>
    </row>
    <row r="168" spans="2:9" x14ac:dyDescent="0.2">
      <c r="B168" s="15"/>
      <c r="C168" s="15"/>
      <c r="D168" s="15"/>
      <c r="E168" s="15"/>
      <c r="F168" s="15"/>
      <c r="G168" s="15"/>
      <c r="H168" s="10"/>
      <c r="I168" s="10"/>
    </row>
    <row r="169" spans="2:9" x14ac:dyDescent="0.2">
      <c r="B169" s="15"/>
      <c r="C169" s="15"/>
      <c r="D169" s="15"/>
      <c r="E169" s="15"/>
      <c r="F169" s="15"/>
      <c r="G169" s="15"/>
      <c r="H169" s="10"/>
      <c r="I169" s="10"/>
    </row>
    <row r="170" spans="2:9" x14ac:dyDescent="0.2">
      <c r="B170" s="15"/>
      <c r="C170" s="15"/>
      <c r="D170" s="15"/>
      <c r="E170" s="15"/>
      <c r="F170" s="15"/>
      <c r="G170" s="15"/>
      <c r="H170" s="10"/>
      <c r="I170" s="10"/>
    </row>
    <row r="171" spans="2:9" x14ac:dyDescent="0.2">
      <c r="B171" s="15"/>
      <c r="C171" s="15"/>
      <c r="D171" s="15"/>
      <c r="E171" s="15"/>
      <c r="F171" s="15"/>
      <c r="G171" s="15"/>
      <c r="H171" s="10"/>
      <c r="I171" s="10"/>
    </row>
    <row r="172" spans="2:9" x14ac:dyDescent="0.2">
      <c r="B172" s="15"/>
      <c r="C172" s="15"/>
      <c r="D172" s="15"/>
      <c r="E172" s="15"/>
      <c r="F172" s="15"/>
      <c r="G172" s="15"/>
      <c r="H172" s="10"/>
      <c r="I172" s="10"/>
    </row>
    <row r="173" spans="2:9" x14ac:dyDescent="0.2">
      <c r="B173" s="15"/>
      <c r="C173" s="15"/>
      <c r="D173" s="15"/>
      <c r="E173" s="15"/>
      <c r="F173" s="15"/>
      <c r="G173" s="15"/>
      <c r="H173" s="10"/>
      <c r="I173" s="10"/>
    </row>
    <row r="174" spans="2:9" x14ac:dyDescent="0.2">
      <c r="B174" s="15"/>
      <c r="C174" s="15"/>
      <c r="D174" s="15"/>
      <c r="E174" s="15"/>
      <c r="F174" s="15"/>
      <c r="G174" s="15"/>
      <c r="H174" s="10"/>
      <c r="I174" s="10"/>
    </row>
    <row r="175" spans="2:9" x14ac:dyDescent="0.2">
      <c r="B175" s="15"/>
      <c r="C175" s="15"/>
      <c r="D175" s="15"/>
      <c r="E175" s="15"/>
      <c r="F175" s="15"/>
      <c r="G175" s="15"/>
      <c r="H175" s="10"/>
      <c r="I175" s="10"/>
    </row>
    <row r="176" spans="2:9" x14ac:dyDescent="0.2">
      <c r="B176" s="15"/>
      <c r="C176" s="15"/>
      <c r="D176" s="15"/>
      <c r="E176" s="15"/>
      <c r="F176" s="15"/>
      <c r="G176" s="15"/>
      <c r="H176" s="10"/>
      <c r="I176" s="10"/>
    </row>
    <row r="177" spans="2:9" x14ac:dyDescent="0.2">
      <c r="B177" s="15"/>
      <c r="C177" s="15"/>
      <c r="D177" s="15"/>
      <c r="E177" s="15"/>
      <c r="F177" s="15"/>
      <c r="G177" s="15"/>
      <c r="H177" s="10"/>
      <c r="I177" s="10"/>
    </row>
    <row r="178" spans="2:9" x14ac:dyDescent="0.2">
      <c r="B178" s="15"/>
      <c r="C178" s="15"/>
      <c r="D178" s="15"/>
      <c r="E178" s="15"/>
      <c r="F178" s="15"/>
      <c r="G178" s="15"/>
      <c r="H178" s="10"/>
      <c r="I178" s="10"/>
    </row>
    <row r="179" spans="2:9" x14ac:dyDescent="0.2">
      <c r="B179" s="15"/>
      <c r="C179" s="15"/>
      <c r="D179" s="15"/>
      <c r="E179" s="15"/>
      <c r="F179" s="15"/>
      <c r="G179" s="15"/>
      <c r="H179" s="10"/>
      <c r="I179" s="10"/>
    </row>
    <row r="180" spans="2:9" x14ac:dyDescent="0.2">
      <c r="B180" s="15"/>
      <c r="C180" s="15"/>
      <c r="D180" s="15"/>
      <c r="E180" s="15"/>
      <c r="F180" s="15"/>
      <c r="G180" s="15"/>
      <c r="H180" s="10"/>
      <c r="I180" s="10"/>
    </row>
    <row r="181" spans="2:9" x14ac:dyDescent="0.2">
      <c r="B181" s="15"/>
      <c r="C181" s="15"/>
      <c r="D181" s="15"/>
      <c r="E181" s="15"/>
      <c r="F181" s="15"/>
      <c r="G181" s="15"/>
      <c r="H181" s="10"/>
      <c r="I181" s="10"/>
    </row>
    <row r="182" spans="2:9" x14ac:dyDescent="0.2">
      <c r="B182" s="15"/>
      <c r="C182" s="15"/>
      <c r="D182" s="15"/>
      <c r="E182" s="15"/>
      <c r="F182" s="15"/>
      <c r="G182" s="15"/>
      <c r="H182" s="10"/>
      <c r="I182" s="10"/>
    </row>
    <row r="183" spans="2:9" x14ac:dyDescent="0.2">
      <c r="B183" s="15"/>
      <c r="C183" s="15"/>
      <c r="D183" s="15"/>
      <c r="E183" s="15"/>
      <c r="F183" s="15"/>
      <c r="G183" s="15"/>
      <c r="H183" s="10"/>
      <c r="I183" s="10"/>
    </row>
    <row r="184" spans="2:9" x14ac:dyDescent="0.2">
      <c r="B184" s="15"/>
      <c r="C184" s="15"/>
      <c r="D184" s="15"/>
      <c r="E184" s="15"/>
      <c r="F184" s="15"/>
      <c r="G184" s="15"/>
      <c r="H184" s="10"/>
      <c r="I184" s="10"/>
    </row>
    <row r="185" spans="2:9" x14ac:dyDescent="0.2">
      <c r="B185" s="15"/>
      <c r="C185" s="15"/>
      <c r="D185" s="15"/>
      <c r="E185" s="15"/>
      <c r="F185" s="15"/>
      <c r="G185" s="15"/>
      <c r="H185" s="10"/>
      <c r="I185" s="10"/>
    </row>
    <row r="186" spans="2:9" x14ac:dyDescent="0.2">
      <c r="B186" s="15"/>
      <c r="C186" s="15"/>
      <c r="D186" s="15"/>
      <c r="E186" s="15"/>
      <c r="F186" s="15"/>
      <c r="G186" s="15"/>
      <c r="H186" s="10"/>
      <c r="I186" s="10"/>
    </row>
    <row r="187" spans="2:9" x14ac:dyDescent="0.2">
      <c r="B187" s="15"/>
      <c r="C187" s="15"/>
      <c r="D187" s="15"/>
      <c r="E187" s="15"/>
      <c r="F187" s="15"/>
      <c r="G187" s="15"/>
      <c r="H187" s="10"/>
      <c r="I187" s="10"/>
    </row>
    <row r="188" spans="2:9" x14ac:dyDescent="0.2">
      <c r="B188" s="15"/>
      <c r="C188" s="15"/>
      <c r="D188" s="15"/>
      <c r="E188" s="15"/>
      <c r="F188" s="15"/>
      <c r="G188" s="15"/>
      <c r="H188" s="10"/>
      <c r="I188" s="10"/>
    </row>
    <row r="189" spans="2:9" x14ac:dyDescent="0.2">
      <c r="B189" s="15"/>
      <c r="C189" s="15"/>
      <c r="D189" s="15"/>
      <c r="E189" s="15"/>
      <c r="F189" s="15"/>
      <c r="G189" s="15"/>
      <c r="H189" s="10"/>
      <c r="I189" s="10"/>
    </row>
    <row r="190" spans="2:9" x14ac:dyDescent="0.2">
      <c r="B190" s="15"/>
      <c r="C190" s="15"/>
      <c r="D190" s="15"/>
      <c r="E190" s="15"/>
      <c r="F190" s="15"/>
      <c r="G190" s="15"/>
      <c r="H190" s="10"/>
      <c r="I190" s="10"/>
    </row>
    <row r="191" spans="2:9" x14ac:dyDescent="0.2">
      <c r="B191" s="15"/>
      <c r="C191" s="15"/>
      <c r="D191" s="15"/>
      <c r="E191" s="15"/>
      <c r="F191" s="15"/>
      <c r="G191" s="15"/>
      <c r="H191" s="10"/>
      <c r="I191" s="10"/>
    </row>
    <row r="192" spans="2:9" x14ac:dyDescent="0.2">
      <c r="B192" s="15"/>
      <c r="C192" s="15"/>
      <c r="D192" s="15"/>
      <c r="E192" s="15"/>
      <c r="F192" s="15"/>
      <c r="G192" s="15"/>
      <c r="H192" s="10"/>
      <c r="I192" s="10"/>
    </row>
    <row r="193" spans="2:9" x14ac:dyDescent="0.2">
      <c r="B193" s="15"/>
      <c r="C193" s="15"/>
      <c r="D193" s="15"/>
      <c r="E193" s="15"/>
      <c r="F193" s="15"/>
      <c r="G193" s="15"/>
      <c r="H193" s="10"/>
      <c r="I193" s="10"/>
    </row>
    <row r="194" spans="2:9" x14ac:dyDescent="0.2">
      <c r="B194" s="15"/>
      <c r="C194" s="15"/>
      <c r="D194" s="15"/>
      <c r="E194" s="15"/>
      <c r="F194" s="15"/>
      <c r="G194" s="15"/>
      <c r="H194" s="10"/>
      <c r="I194" s="10"/>
    </row>
    <row r="195" spans="2:9" x14ac:dyDescent="0.2">
      <c r="B195" s="15"/>
      <c r="C195" s="15"/>
      <c r="D195" s="15"/>
      <c r="E195" s="15"/>
      <c r="F195" s="15"/>
      <c r="G195" s="15"/>
      <c r="H195" s="10"/>
      <c r="I195" s="10"/>
    </row>
    <row r="196" spans="2:9" x14ac:dyDescent="0.2">
      <c r="B196" s="15"/>
      <c r="C196" s="15"/>
      <c r="D196" s="15"/>
      <c r="E196" s="15"/>
      <c r="F196" s="15"/>
      <c r="G196" s="15"/>
      <c r="H196" s="10"/>
      <c r="I196" s="10"/>
    </row>
    <row r="197" spans="2:9" x14ac:dyDescent="0.2">
      <c r="B197" s="15"/>
      <c r="C197" s="15"/>
      <c r="D197" s="15"/>
      <c r="E197" s="15"/>
      <c r="F197" s="15"/>
      <c r="G197" s="15"/>
      <c r="H197" s="10"/>
      <c r="I197" s="10"/>
    </row>
    <row r="198" spans="2:9" x14ac:dyDescent="0.2">
      <c r="B198" s="15"/>
      <c r="C198" s="15"/>
      <c r="D198" s="15"/>
      <c r="E198" s="15"/>
      <c r="F198" s="15"/>
      <c r="G198" s="15"/>
      <c r="H198" s="10"/>
      <c r="I198" s="10"/>
    </row>
    <row r="199" spans="2:9" x14ac:dyDescent="0.2">
      <c r="B199" s="15"/>
      <c r="C199" s="15"/>
      <c r="D199" s="15"/>
      <c r="E199" s="15"/>
      <c r="F199" s="15"/>
      <c r="G199" s="15"/>
      <c r="H199" s="10"/>
      <c r="I199" s="10"/>
    </row>
    <row r="200" spans="2:9" x14ac:dyDescent="0.2">
      <c r="B200" s="15"/>
      <c r="C200" s="15"/>
      <c r="D200" s="15"/>
      <c r="E200" s="15"/>
      <c r="F200" s="15"/>
      <c r="G200" s="15"/>
      <c r="H200" s="10"/>
      <c r="I200" s="10"/>
    </row>
    <row r="201" spans="2:9" x14ac:dyDescent="0.2">
      <c r="B201" s="15"/>
      <c r="C201" s="15"/>
      <c r="D201" s="15"/>
      <c r="E201" s="15"/>
      <c r="F201" s="15"/>
      <c r="G201" s="15"/>
      <c r="H201" s="10"/>
      <c r="I201" s="10"/>
    </row>
    <row r="202" spans="2:9" x14ac:dyDescent="0.2">
      <c r="B202" s="15"/>
      <c r="C202" s="15"/>
      <c r="D202" s="15"/>
      <c r="E202" s="15"/>
      <c r="F202" s="15"/>
      <c r="G202" s="15"/>
      <c r="H202" s="10"/>
      <c r="I202" s="10"/>
    </row>
    <row r="203" spans="2:9" x14ac:dyDescent="0.2">
      <c r="B203" s="15"/>
      <c r="C203" s="15"/>
      <c r="D203" s="15"/>
      <c r="E203" s="15"/>
      <c r="F203" s="15"/>
      <c r="G203" s="15"/>
      <c r="H203" s="10"/>
      <c r="I203" s="10"/>
    </row>
    <row r="204" spans="2:9" x14ac:dyDescent="0.2">
      <c r="B204" s="15"/>
      <c r="C204" s="15"/>
      <c r="D204" s="15"/>
      <c r="E204" s="15"/>
      <c r="F204" s="15"/>
      <c r="G204" s="15"/>
      <c r="H204" s="10"/>
      <c r="I204" s="10"/>
    </row>
    <row r="205" spans="2:9" x14ac:dyDescent="0.2">
      <c r="B205" s="15"/>
      <c r="C205" s="15"/>
      <c r="D205" s="15"/>
      <c r="E205" s="15"/>
      <c r="F205" s="15"/>
      <c r="G205" s="15"/>
      <c r="H205" s="10"/>
      <c r="I205" s="10"/>
    </row>
    <row r="206" spans="2:9" x14ac:dyDescent="0.2">
      <c r="B206" s="15"/>
      <c r="C206" s="15"/>
      <c r="D206" s="15"/>
      <c r="E206" s="15"/>
      <c r="F206" s="15"/>
      <c r="G206" s="15"/>
      <c r="H206" s="10"/>
      <c r="I206" s="10"/>
    </row>
    <row r="207" spans="2:9" x14ac:dyDescent="0.2">
      <c r="B207" s="15"/>
      <c r="C207" s="15"/>
      <c r="D207" s="15"/>
      <c r="E207" s="15"/>
      <c r="F207" s="15"/>
      <c r="G207" s="15"/>
      <c r="H207" s="10"/>
      <c r="I207" s="10"/>
    </row>
    <row r="208" spans="2:9" x14ac:dyDescent="0.2">
      <c r="B208" s="15"/>
      <c r="C208" s="15"/>
      <c r="D208" s="15"/>
      <c r="E208" s="15"/>
      <c r="F208" s="15"/>
      <c r="G208" s="15"/>
      <c r="H208" s="10"/>
      <c r="I208" s="10"/>
    </row>
    <row r="209" spans="2:9" x14ac:dyDescent="0.2">
      <c r="B209" s="15"/>
      <c r="C209" s="15"/>
      <c r="D209" s="15"/>
      <c r="E209" s="15"/>
      <c r="F209" s="15"/>
      <c r="G209" s="15"/>
      <c r="H209" s="10"/>
      <c r="I209" s="10"/>
    </row>
    <row r="210" spans="2:9" x14ac:dyDescent="0.2">
      <c r="B210" s="15"/>
      <c r="C210" s="15"/>
      <c r="D210" s="15"/>
      <c r="E210" s="15"/>
      <c r="F210" s="15"/>
      <c r="G210" s="15"/>
      <c r="H210" s="10"/>
      <c r="I210" s="10"/>
    </row>
    <row r="211" spans="2:9" x14ac:dyDescent="0.2">
      <c r="B211" s="15"/>
      <c r="C211" s="15"/>
      <c r="D211" s="15"/>
      <c r="E211" s="15"/>
      <c r="F211" s="15"/>
      <c r="G211" s="15"/>
      <c r="H211" s="10"/>
      <c r="I211" s="10"/>
    </row>
    <row r="212" spans="2:9" x14ac:dyDescent="0.2">
      <c r="B212" s="15"/>
      <c r="C212" s="15"/>
      <c r="D212" s="15"/>
      <c r="E212" s="15"/>
      <c r="F212" s="15"/>
      <c r="G212" s="15"/>
      <c r="H212" s="10"/>
      <c r="I212" s="10"/>
    </row>
    <row r="213" spans="2:9" x14ac:dyDescent="0.2">
      <c r="B213" s="15"/>
      <c r="C213" s="15"/>
      <c r="D213" s="15"/>
      <c r="E213" s="15"/>
      <c r="F213" s="15"/>
      <c r="G213" s="15"/>
      <c r="H213" s="10"/>
      <c r="I213" s="10"/>
    </row>
    <row r="214" spans="2:9" x14ac:dyDescent="0.2">
      <c r="B214" s="15"/>
      <c r="C214" s="15"/>
      <c r="D214" s="15"/>
      <c r="E214" s="15"/>
      <c r="F214" s="15"/>
      <c r="G214" s="15"/>
      <c r="H214" s="10"/>
      <c r="I214" s="10"/>
    </row>
    <row r="215" spans="2:9" x14ac:dyDescent="0.2">
      <c r="B215" s="15"/>
      <c r="C215" s="15"/>
      <c r="D215" s="15"/>
      <c r="E215" s="15"/>
      <c r="F215" s="15"/>
      <c r="G215" s="15"/>
      <c r="H215" s="10"/>
      <c r="I215" s="10"/>
    </row>
    <row r="216" spans="2:9" x14ac:dyDescent="0.2">
      <c r="B216" s="15"/>
      <c r="C216" s="15"/>
      <c r="D216" s="15"/>
      <c r="E216" s="15"/>
      <c r="F216" s="15"/>
      <c r="G216" s="15"/>
      <c r="H216" s="10"/>
      <c r="I216" s="10"/>
    </row>
    <row r="217" spans="2:9" x14ac:dyDescent="0.2">
      <c r="B217" s="15"/>
      <c r="C217" s="15"/>
      <c r="D217" s="15"/>
      <c r="E217" s="15"/>
      <c r="F217" s="15"/>
      <c r="G217" s="15"/>
      <c r="H217" s="10"/>
      <c r="I217" s="10"/>
    </row>
    <row r="218" spans="2:9" x14ac:dyDescent="0.2">
      <c r="B218" s="15"/>
      <c r="C218" s="15"/>
      <c r="D218" s="15"/>
      <c r="E218" s="15"/>
      <c r="F218" s="15"/>
      <c r="G218" s="15"/>
      <c r="H218" s="10"/>
      <c r="I218" s="10"/>
    </row>
    <row r="219" spans="2:9" x14ac:dyDescent="0.2">
      <c r="B219" s="15"/>
      <c r="C219" s="15"/>
      <c r="D219" s="15"/>
      <c r="E219" s="15"/>
      <c r="F219" s="15"/>
      <c r="G219" s="15"/>
      <c r="H219" s="10"/>
      <c r="I219" s="10"/>
    </row>
    <row r="220" spans="2:9" x14ac:dyDescent="0.2">
      <c r="B220" s="15"/>
      <c r="C220" s="15"/>
      <c r="D220" s="15"/>
      <c r="E220" s="15"/>
      <c r="F220" s="15"/>
      <c r="G220" s="15"/>
      <c r="H220" s="10"/>
      <c r="I220" s="10"/>
    </row>
    <row r="221" spans="2:9" x14ac:dyDescent="0.2">
      <c r="B221" s="15"/>
      <c r="C221" s="15"/>
      <c r="D221" s="15"/>
      <c r="E221" s="15"/>
      <c r="F221" s="15"/>
      <c r="G221" s="15"/>
      <c r="H221" s="10"/>
      <c r="I221" s="10"/>
    </row>
    <row r="222" spans="2:9" x14ac:dyDescent="0.2">
      <c r="B222" s="15"/>
      <c r="C222" s="15"/>
      <c r="D222" s="15"/>
      <c r="E222" s="15"/>
      <c r="F222" s="15"/>
      <c r="G222" s="15"/>
      <c r="H222" s="10"/>
      <c r="I222" s="10"/>
    </row>
    <row r="223" spans="2:9" x14ac:dyDescent="0.2">
      <c r="B223" s="15"/>
      <c r="C223" s="15"/>
      <c r="D223" s="15"/>
      <c r="E223" s="15"/>
      <c r="F223" s="15"/>
      <c r="G223" s="15"/>
      <c r="H223" s="10"/>
      <c r="I223" s="10"/>
    </row>
    <row r="224" spans="2:9" x14ac:dyDescent="0.2">
      <c r="B224" s="15"/>
      <c r="C224" s="15"/>
      <c r="D224" s="15"/>
      <c r="E224" s="15"/>
      <c r="F224" s="15"/>
      <c r="G224" s="15"/>
      <c r="H224" s="10"/>
      <c r="I224" s="10"/>
    </row>
    <row r="225" spans="2:9" x14ac:dyDescent="0.2">
      <c r="B225" s="15"/>
      <c r="C225" s="15"/>
      <c r="D225" s="15"/>
      <c r="E225" s="15"/>
      <c r="F225" s="15"/>
      <c r="G225" s="15"/>
      <c r="H225" s="10"/>
      <c r="I225" s="10"/>
    </row>
    <row r="226" spans="2:9" x14ac:dyDescent="0.2">
      <c r="B226" s="15"/>
      <c r="C226" s="15"/>
      <c r="D226" s="15"/>
      <c r="E226" s="15"/>
      <c r="F226" s="15"/>
      <c r="G226" s="15"/>
      <c r="H226" s="10"/>
      <c r="I226" s="10"/>
    </row>
    <row r="227" spans="2:9" x14ac:dyDescent="0.2">
      <c r="B227" s="15"/>
      <c r="C227" s="15"/>
      <c r="D227" s="15"/>
      <c r="E227" s="15"/>
      <c r="F227" s="15"/>
      <c r="G227" s="15"/>
      <c r="H227" s="10"/>
      <c r="I227" s="10"/>
    </row>
    <row r="228" spans="2:9" x14ac:dyDescent="0.2">
      <c r="B228" s="15"/>
      <c r="C228" s="15"/>
      <c r="D228" s="15"/>
      <c r="E228" s="15"/>
      <c r="F228" s="15"/>
      <c r="G228" s="15"/>
      <c r="H228" s="10"/>
      <c r="I228" s="10"/>
    </row>
    <row r="229" spans="2:9" x14ac:dyDescent="0.2">
      <c r="B229" s="15"/>
      <c r="C229" s="15"/>
      <c r="D229" s="15"/>
      <c r="E229" s="15"/>
      <c r="F229" s="15"/>
      <c r="G229" s="15"/>
      <c r="H229" s="10"/>
      <c r="I229" s="10"/>
    </row>
    <row r="230" spans="2:9" x14ac:dyDescent="0.2">
      <c r="B230" s="15"/>
      <c r="C230" s="15"/>
      <c r="D230" s="15"/>
      <c r="E230" s="15"/>
      <c r="F230" s="15"/>
      <c r="G230" s="15"/>
      <c r="H230" s="10"/>
      <c r="I230" s="10"/>
    </row>
    <row r="231" spans="2:9" x14ac:dyDescent="0.2">
      <c r="B231" s="15"/>
      <c r="C231" s="15"/>
      <c r="D231" s="15"/>
      <c r="E231" s="15"/>
      <c r="F231" s="15"/>
      <c r="G231" s="15"/>
      <c r="H231" s="10"/>
      <c r="I231" s="10"/>
    </row>
    <row r="232" spans="2:9" x14ac:dyDescent="0.2">
      <c r="B232" s="15"/>
      <c r="C232" s="15"/>
      <c r="D232" s="15"/>
      <c r="E232" s="15"/>
      <c r="F232" s="15"/>
      <c r="G232" s="15"/>
      <c r="H232" s="10"/>
      <c r="I232" s="10"/>
    </row>
    <row r="233" spans="2:9" x14ac:dyDescent="0.2">
      <c r="B233" s="15"/>
      <c r="C233" s="15"/>
      <c r="D233" s="15"/>
      <c r="E233" s="15"/>
      <c r="F233" s="15"/>
      <c r="G233" s="15"/>
      <c r="H233" s="10"/>
      <c r="I233" s="10"/>
    </row>
    <row r="234" spans="2:9" x14ac:dyDescent="0.2">
      <c r="B234" s="15"/>
      <c r="C234" s="15"/>
      <c r="D234" s="15"/>
      <c r="E234" s="15"/>
      <c r="F234" s="15"/>
      <c r="G234" s="15"/>
      <c r="H234" s="10"/>
      <c r="I234" s="10"/>
    </row>
    <row r="235" spans="2:9" x14ac:dyDescent="0.2">
      <c r="B235" s="15"/>
      <c r="C235" s="15"/>
      <c r="D235" s="15"/>
      <c r="E235" s="15"/>
      <c r="F235" s="15"/>
      <c r="G235" s="15"/>
      <c r="H235" s="10"/>
      <c r="I235" s="10"/>
    </row>
    <row r="236" spans="2:9" x14ac:dyDescent="0.2">
      <c r="B236" s="15"/>
      <c r="C236" s="15"/>
      <c r="D236" s="15"/>
      <c r="E236" s="15"/>
      <c r="F236" s="15"/>
      <c r="G236" s="15"/>
      <c r="H236" s="10"/>
      <c r="I236" s="10"/>
    </row>
    <row r="237" spans="2:9" x14ac:dyDescent="0.2">
      <c r="B237" s="15"/>
      <c r="C237" s="15"/>
      <c r="D237" s="15"/>
      <c r="E237" s="15"/>
      <c r="F237" s="15"/>
      <c r="G237" s="15"/>
      <c r="H237" s="10"/>
      <c r="I237" s="10"/>
    </row>
    <row r="238" spans="2:9" x14ac:dyDescent="0.2">
      <c r="B238" s="15"/>
      <c r="C238" s="15"/>
      <c r="D238" s="15"/>
      <c r="E238" s="15"/>
      <c r="F238" s="15"/>
      <c r="G238" s="15"/>
      <c r="H238" s="10"/>
      <c r="I238" s="10"/>
    </row>
    <row r="239" spans="2:9" x14ac:dyDescent="0.2">
      <c r="B239" s="15"/>
      <c r="C239" s="15"/>
      <c r="D239" s="15"/>
      <c r="E239" s="15"/>
      <c r="F239" s="15"/>
      <c r="G239" s="15"/>
      <c r="H239" s="10"/>
      <c r="I239" s="10"/>
    </row>
    <row r="240" spans="2:9" x14ac:dyDescent="0.2">
      <c r="B240" s="15"/>
      <c r="C240" s="15"/>
      <c r="D240" s="15"/>
      <c r="E240" s="15"/>
      <c r="F240" s="15"/>
      <c r="G240" s="15"/>
      <c r="H240" s="10"/>
      <c r="I240" s="10"/>
    </row>
    <row r="241" spans="2:9" x14ac:dyDescent="0.2">
      <c r="B241" s="15"/>
      <c r="C241" s="15"/>
      <c r="D241" s="15"/>
      <c r="E241" s="15"/>
      <c r="F241" s="15"/>
      <c r="G241" s="15"/>
      <c r="H241" s="10"/>
      <c r="I241" s="10"/>
    </row>
    <row r="242" spans="2:9" x14ac:dyDescent="0.2">
      <c r="B242" s="15"/>
      <c r="C242" s="15"/>
      <c r="D242" s="15"/>
      <c r="E242" s="15"/>
      <c r="F242" s="15"/>
      <c r="G242" s="15"/>
      <c r="H242" s="10"/>
      <c r="I242" s="10"/>
    </row>
    <row r="243" spans="2:9" x14ac:dyDescent="0.2">
      <c r="B243" s="15"/>
      <c r="C243" s="15"/>
      <c r="D243" s="15"/>
      <c r="E243" s="15"/>
      <c r="F243" s="15"/>
      <c r="G243" s="15"/>
      <c r="H243" s="10"/>
      <c r="I243" s="10"/>
    </row>
    <row r="244" spans="2:9" x14ac:dyDescent="0.2">
      <c r="B244" s="15"/>
      <c r="C244" s="15"/>
      <c r="D244" s="15"/>
      <c r="E244" s="15"/>
      <c r="F244" s="15"/>
      <c r="G244" s="15"/>
      <c r="H244" s="10"/>
      <c r="I244" s="10"/>
    </row>
    <row r="245" spans="2:9" x14ac:dyDescent="0.2">
      <c r="B245" s="15"/>
      <c r="C245" s="15"/>
      <c r="D245" s="15"/>
      <c r="E245" s="15"/>
      <c r="F245" s="15"/>
      <c r="G245" s="15"/>
      <c r="H245" s="10"/>
      <c r="I245" s="10"/>
    </row>
    <row r="246" spans="2:9" x14ac:dyDescent="0.2">
      <c r="B246" s="15"/>
      <c r="C246" s="15"/>
      <c r="D246" s="15"/>
      <c r="E246" s="15"/>
      <c r="F246" s="15"/>
      <c r="G246" s="15"/>
      <c r="H246" s="10"/>
      <c r="I246" s="10"/>
    </row>
    <row r="247" spans="2:9" x14ac:dyDescent="0.2">
      <c r="B247" s="15"/>
      <c r="C247" s="15"/>
      <c r="D247" s="15"/>
      <c r="E247" s="15"/>
      <c r="F247" s="15"/>
      <c r="G247" s="15"/>
      <c r="H247" s="10"/>
      <c r="I247" s="10"/>
    </row>
    <row r="248" spans="2:9" x14ac:dyDescent="0.2">
      <c r="B248" s="15"/>
      <c r="C248" s="15"/>
      <c r="D248" s="15"/>
      <c r="E248" s="15"/>
      <c r="F248" s="15"/>
      <c r="G248" s="15"/>
      <c r="H248" s="10"/>
      <c r="I248" s="10"/>
    </row>
    <row r="249" spans="2:9" x14ac:dyDescent="0.2">
      <c r="B249" s="15"/>
      <c r="C249" s="15"/>
      <c r="D249" s="15"/>
      <c r="E249" s="15"/>
      <c r="F249" s="15"/>
      <c r="G249" s="15"/>
      <c r="H249" s="10"/>
      <c r="I249" s="10"/>
    </row>
    <row r="250" spans="2:9" x14ac:dyDescent="0.2">
      <c r="B250" s="15"/>
      <c r="C250" s="15"/>
      <c r="D250" s="15"/>
      <c r="E250" s="15"/>
      <c r="F250" s="15"/>
      <c r="G250" s="15"/>
      <c r="H250" s="10"/>
      <c r="I250" s="10"/>
    </row>
    <row r="251" spans="2:9" x14ac:dyDescent="0.2">
      <c r="B251" s="15"/>
      <c r="C251" s="15"/>
      <c r="D251" s="15"/>
      <c r="E251" s="15"/>
      <c r="F251" s="15"/>
      <c r="G251" s="15"/>
      <c r="H251" s="10"/>
      <c r="I251" s="10"/>
    </row>
    <row r="252" spans="2:9" x14ac:dyDescent="0.2">
      <c r="B252" s="15"/>
      <c r="C252" s="15"/>
      <c r="D252" s="15"/>
      <c r="E252" s="15"/>
      <c r="F252" s="15"/>
      <c r="G252" s="15"/>
      <c r="H252" s="10"/>
      <c r="I252" s="10"/>
    </row>
    <row r="253" spans="2:9" x14ac:dyDescent="0.2">
      <c r="B253" s="15"/>
      <c r="C253" s="15"/>
      <c r="D253" s="15"/>
      <c r="E253" s="15"/>
      <c r="F253" s="15"/>
      <c r="G253" s="15"/>
      <c r="H253" s="10"/>
      <c r="I253" s="10"/>
    </row>
    <row r="254" spans="2:9" x14ac:dyDescent="0.2">
      <c r="B254" s="15"/>
      <c r="C254" s="15"/>
      <c r="D254" s="15"/>
      <c r="E254" s="15"/>
      <c r="F254" s="15"/>
      <c r="G254" s="15"/>
      <c r="H254" s="10"/>
      <c r="I254" s="10"/>
    </row>
    <row r="255" spans="2:9" x14ac:dyDescent="0.2">
      <c r="B255" s="15"/>
      <c r="C255" s="15"/>
      <c r="D255" s="15"/>
      <c r="E255" s="15"/>
      <c r="F255" s="15"/>
      <c r="G255" s="15"/>
      <c r="H255" s="10"/>
      <c r="I255" s="10"/>
    </row>
    <row r="256" spans="2:9" x14ac:dyDescent="0.2">
      <c r="B256" s="15"/>
      <c r="C256" s="15"/>
      <c r="D256" s="15"/>
      <c r="E256" s="15"/>
      <c r="F256" s="15"/>
      <c r="G256" s="15"/>
      <c r="H256" s="10"/>
      <c r="I256" s="10"/>
    </row>
    <row r="257" spans="2:9" x14ac:dyDescent="0.2">
      <c r="B257" s="15"/>
      <c r="C257" s="15"/>
      <c r="D257" s="15"/>
      <c r="E257" s="15"/>
      <c r="F257" s="15"/>
      <c r="G257" s="15"/>
      <c r="H257" s="10"/>
      <c r="I257" s="10"/>
    </row>
    <row r="258" spans="2:9" x14ac:dyDescent="0.2">
      <c r="B258" s="15"/>
      <c r="C258" s="15"/>
      <c r="D258" s="15"/>
      <c r="E258" s="15"/>
      <c r="F258" s="15"/>
      <c r="G258" s="15"/>
      <c r="H258" s="10"/>
      <c r="I258" s="10"/>
    </row>
    <row r="259" spans="2:9" x14ac:dyDescent="0.2">
      <c r="B259" s="15"/>
      <c r="C259" s="15"/>
      <c r="D259" s="15"/>
      <c r="E259" s="15"/>
      <c r="F259" s="15"/>
      <c r="G259" s="15"/>
      <c r="H259" s="10"/>
      <c r="I259" s="10"/>
    </row>
    <row r="260" spans="2:9" x14ac:dyDescent="0.2">
      <c r="B260" s="15"/>
      <c r="C260" s="15"/>
      <c r="D260" s="15"/>
      <c r="E260" s="15"/>
      <c r="F260" s="15"/>
      <c r="G260" s="15"/>
      <c r="H260" s="10"/>
      <c r="I260" s="10"/>
    </row>
    <row r="261" spans="2:9" x14ac:dyDescent="0.2">
      <c r="B261" s="15"/>
      <c r="C261" s="15"/>
      <c r="D261" s="15"/>
      <c r="E261" s="15"/>
      <c r="F261" s="15"/>
      <c r="G261" s="15"/>
      <c r="H261" s="10"/>
      <c r="I261" s="10"/>
    </row>
    <row r="262" spans="2:9" x14ac:dyDescent="0.2">
      <c r="B262" s="15"/>
      <c r="C262" s="15"/>
      <c r="D262" s="15"/>
      <c r="E262" s="15"/>
      <c r="F262" s="15"/>
      <c r="G262" s="15"/>
      <c r="H262" s="10"/>
      <c r="I262" s="10"/>
    </row>
    <row r="263" spans="2:9" x14ac:dyDescent="0.2">
      <c r="B263" s="15"/>
      <c r="C263" s="15"/>
      <c r="D263" s="15"/>
      <c r="E263" s="15"/>
      <c r="F263" s="15"/>
      <c r="G263" s="15"/>
      <c r="H263" s="10"/>
      <c r="I263" s="10"/>
    </row>
    <row r="264" spans="2:9" x14ac:dyDescent="0.2">
      <c r="B264" s="15"/>
      <c r="C264" s="15"/>
      <c r="D264" s="15"/>
      <c r="E264" s="15"/>
      <c r="F264" s="15"/>
      <c r="G264" s="15"/>
      <c r="H264" s="10"/>
      <c r="I264" s="10"/>
    </row>
    <row r="265" spans="2:9" x14ac:dyDescent="0.2">
      <c r="B265" s="15"/>
      <c r="C265" s="15"/>
      <c r="D265" s="15"/>
      <c r="E265" s="15"/>
      <c r="F265" s="15"/>
      <c r="G265" s="15"/>
      <c r="H265" s="10"/>
      <c r="I265" s="10"/>
    </row>
    <row r="266" spans="2:9" x14ac:dyDescent="0.2">
      <c r="B266" s="15"/>
      <c r="C266" s="15"/>
      <c r="D266" s="15"/>
      <c r="E266" s="15"/>
      <c r="F266" s="15"/>
      <c r="G266" s="15"/>
      <c r="H266" s="10"/>
      <c r="I266" s="10"/>
    </row>
    <row r="267" spans="2:9" x14ac:dyDescent="0.2">
      <c r="B267" s="15"/>
      <c r="C267" s="15"/>
      <c r="D267" s="15"/>
      <c r="E267" s="15"/>
      <c r="F267" s="15"/>
      <c r="G267" s="15"/>
      <c r="H267" s="10"/>
      <c r="I267" s="10"/>
    </row>
    <row r="268" spans="2:9" x14ac:dyDescent="0.2">
      <c r="B268" s="15"/>
      <c r="C268" s="15"/>
      <c r="D268" s="15"/>
      <c r="E268" s="15"/>
      <c r="F268" s="15"/>
      <c r="G268" s="15"/>
      <c r="H268" s="10"/>
      <c r="I268" s="10"/>
    </row>
    <row r="269" spans="2:9" x14ac:dyDescent="0.2">
      <c r="B269" s="15"/>
      <c r="C269" s="15"/>
      <c r="D269" s="15"/>
      <c r="E269" s="15"/>
      <c r="F269" s="15"/>
      <c r="G269" s="15"/>
      <c r="H269" s="10"/>
      <c r="I269" s="10"/>
    </row>
    <row r="270" spans="2:9" x14ac:dyDescent="0.2">
      <c r="B270" s="15"/>
      <c r="C270" s="15"/>
      <c r="D270" s="15"/>
      <c r="E270" s="15"/>
      <c r="F270" s="15"/>
      <c r="G270" s="15"/>
      <c r="H270" s="10"/>
      <c r="I270" s="10"/>
    </row>
    <row r="271" spans="2:9" x14ac:dyDescent="0.2">
      <c r="B271" s="15"/>
      <c r="C271" s="15"/>
      <c r="D271" s="15"/>
      <c r="E271" s="15"/>
      <c r="F271" s="15"/>
      <c r="G271" s="15"/>
      <c r="H271" s="10"/>
      <c r="I271" s="10"/>
    </row>
    <row r="272" spans="2:9" x14ac:dyDescent="0.2">
      <c r="B272" s="15"/>
      <c r="C272" s="15"/>
      <c r="D272" s="15"/>
      <c r="E272" s="15"/>
      <c r="F272" s="15"/>
      <c r="G272" s="15"/>
      <c r="H272" s="10"/>
      <c r="I272" s="10"/>
    </row>
    <row r="273" spans="2:9" x14ac:dyDescent="0.2">
      <c r="B273" s="15"/>
      <c r="C273" s="15"/>
      <c r="D273" s="15"/>
      <c r="E273" s="15"/>
      <c r="F273" s="15"/>
      <c r="G273" s="15"/>
      <c r="H273" s="10"/>
      <c r="I273" s="10"/>
    </row>
    <row r="274" spans="2:9" x14ac:dyDescent="0.2">
      <c r="B274" s="15"/>
      <c r="C274" s="15"/>
      <c r="D274" s="15"/>
      <c r="E274" s="15"/>
      <c r="F274" s="15"/>
      <c r="G274" s="15"/>
      <c r="H274" s="10"/>
      <c r="I274" s="10"/>
    </row>
    <row r="275" spans="2:9" x14ac:dyDescent="0.2">
      <c r="B275" s="15"/>
      <c r="C275" s="15"/>
      <c r="D275" s="15"/>
      <c r="E275" s="15"/>
      <c r="F275" s="15"/>
      <c r="G275" s="15"/>
      <c r="H275" s="10"/>
      <c r="I275" s="10"/>
    </row>
    <row r="276" spans="2:9" x14ac:dyDescent="0.2">
      <c r="B276" s="15"/>
      <c r="C276" s="15"/>
      <c r="D276" s="15"/>
      <c r="E276" s="15"/>
      <c r="F276" s="15"/>
      <c r="G276" s="15"/>
      <c r="H276" s="10"/>
      <c r="I276" s="10"/>
    </row>
    <row r="277" spans="2:9" x14ac:dyDescent="0.2">
      <c r="B277" s="15"/>
      <c r="C277" s="15"/>
      <c r="D277" s="15"/>
      <c r="E277" s="15"/>
      <c r="F277" s="15"/>
      <c r="G277" s="15"/>
      <c r="H277" s="10"/>
      <c r="I277" s="10"/>
    </row>
    <row r="278" spans="2:9" x14ac:dyDescent="0.2">
      <c r="B278" s="15"/>
      <c r="C278" s="15"/>
      <c r="D278" s="15"/>
      <c r="E278" s="15"/>
      <c r="F278" s="15"/>
      <c r="G278" s="15"/>
      <c r="H278" s="10"/>
      <c r="I278" s="10"/>
    </row>
    <row r="279" spans="2:9" x14ac:dyDescent="0.2">
      <c r="B279" s="15"/>
      <c r="C279" s="15"/>
      <c r="D279" s="15"/>
      <c r="E279" s="15"/>
      <c r="F279" s="15"/>
      <c r="G279" s="15"/>
      <c r="H279" s="10"/>
      <c r="I279" s="10"/>
    </row>
    <row r="280" spans="2:9" x14ac:dyDescent="0.2">
      <c r="B280" s="15"/>
      <c r="C280" s="15"/>
      <c r="D280" s="15"/>
      <c r="E280" s="15"/>
      <c r="F280" s="15"/>
      <c r="G280" s="15"/>
      <c r="H280" s="10"/>
      <c r="I280" s="10"/>
    </row>
    <row r="281" spans="2:9" x14ac:dyDescent="0.2">
      <c r="B281" s="15"/>
      <c r="C281" s="15"/>
      <c r="D281" s="15"/>
      <c r="E281" s="15"/>
      <c r="F281" s="15"/>
      <c r="G281" s="15"/>
      <c r="H281" s="10"/>
      <c r="I281" s="10"/>
    </row>
    <row r="282" spans="2:9" x14ac:dyDescent="0.2">
      <c r="B282" s="15"/>
      <c r="C282" s="15"/>
      <c r="D282" s="15"/>
      <c r="E282" s="15"/>
      <c r="F282" s="15"/>
      <c r="G282" s="15"/>
      <c r="H282" s="10"/>
      <c r="I282" s="10"/>
    </row>
    <row r="283" spans="2:9" x14ac:dyDescent="0.2">
      <c r="B283" s="15"/>
      <c r="C283" s="15"/>
      <c r="D283" s="15"/>
      <c r="E283" s="15"/>
      <c r="F283" s="15"/>
      <c r="G283" s="15"/>
      <c r="H283" s="10"/>
      <c r="I283" s="10"/>
    </row>
    <row r="284" spans="2:9" x14ac:dyDescent="0.2">
      <c r="B284" s="15"/>
      <c r="C284" s="15"/>
      <c r="D284" s="15"/>
      <c r="E284" s="15"/>
      <c r="F284" s="15"/>
      <c r="G284" s="15"/>
      <c r="H284" s="10"/>
      <c r="I284" s="10"/>
    </row>
    <row r="285" spans="2:9" x14ac:dyDescent="0.2">
      <c r="B285" s="15"/>
      <c r="C285" s="15"/>
      <c r="D285" s="15"/>
      <c r="E285" s="15"/>
      <c r="F285" s="15"/>
      <c r="G285" s="15"/>
      <c r="H285" s="10"/>
      <c r="I285" s="10"/>
    </row>
    <row r="286" spans="2:9" x14ac:dyDescent="0.2">
      <c r="B286" s="15"/>
      <c r="C286" s="15"/>
      <c r="D286" s="15"/>
      <c r="E286" s="15"/>
      <c r="F286" s="15"/>
      <c r="G286" s="15"/>
      <c r="H286" s="10"/>
      <c r="I286" s="10"/>
    </row>
    <row r="287" spans="2:9" x14ac:dyDescent="0.2">
      <c r="B287" s="15"/>
      <c r="C287" s="15"/>
      <c r="D287" s="15"/>
      <c r="E287" s="15"/>
      <c r="F287" s="15"/>
      <c r="G287" s="15"/>
      <c r="H287" s="10"/>
      <c r="I287" s="10"/>
    </row>
    <row r="288" spans="2:9" x14ac:dyDescent="0.2">
      <c r="B288" s="15"/>
      <c r="C288" s="15"/>
      <c r="D288" s="15"/>
      <c r="E288" s="15"/>
      <c r="F288" s="15"/>
      <c r="G288" s="15"/>
      <c r="H288" s="10"/>
      <c r="I288" s="10"/>
    </row>
    <row r="289" spans="2:9" x14ac:dyDescent="0.2">
      <c r="B289" s="15"/>
      <c r="C289" s="15"/>
      <c r="D289" s="15"/>
      <c r="E289" s="15"/>
      <c r="F289" s="15"/>
      <c r="G289" s="15"/>
      <c r="H289" s="10"/>
      <c r="I289" s="10"/>
    </row>
    <row r="290" spans="2:9" x14ac:dyDescent="0.2">
      <c r="B290" s="15"/>
      <c r="C290" s="15"/>
      <c r="D290" s="15"/>
      <c r="E290" s="15"/>
      <c r="F290" s="15"/>
      <c r="G290" s="15"/>
      <c r="H290" s="10"/>
      <c r="I290" s="10"/>
    </row>
    <row r="291" spans="2:9" x14ac:dyDescent="0.2">
      <c r="B291" s="15"/>
      <c r="C291" s="15"/>
      <c r="D291" s="15"/>
      <c r="E291" s="15"/>
      <c r="F291" s="15"/>
      <c r="G291" s="15"/>
      <c r="H291" s="10"/>
      <c r="I291" s="10"/>
    </row>
    <row r="292" spans="2:9" x14ac:dyDescent="0.2">
      <c r="B292" s="15"/>
      <c r="C292" s="15"/>
      <c r="D292" s="15"/>
      <c r="E292" s="15"/>
      <c r="F292" s="15"/>
      <c r="G292" s="15"/>
      <c r="H292" s="10"/>
      <c r="I292" s="10"/>
    </row>
    <row r="293" spans="2:9" x14ac:dyDescent="0.2">
      <c r="B293" s="15"/>
      <c r="C293" s="15"/>
      <c r="D293" s="15"/>
      <c r="E293" s="15"/>
      <c r="F293" s="15"/>
      <c r="G293" s="15"/>
      <c r="H293" s="10"/>
      <c r="I293" s="10"/>
    </row>
    <row r="294" spans="2:9" x14ac:dyDescent="0.2">
      <c r="B294" s="15"/>
      <c r="C294" s="15"/>
      <c r="D294" s="15"/>
      <c r="E294" s="15"/>
      <c r="F294" s="15"/>
      <c r="G294" s="15"/>
      <c r="H294" s="10"/>
      <c r="I294" s="10"/>
    </row>
    <row r="295" spans="2:9" x14ac:dyDescent="0.2">
      <c r="B295" s="15"/>
      <c r="C295" s="15"/>
      <c r="D295" s="15"/>
      <c r="E295" s="15"/>
      <c r="F295" s="15"/>
      <c r="G295" s="15"/>
      <c r="H295" s="10"/>
      <c r="I295" s="10"/>
    </row>
    <row r="296" spans="2:9" x14ac:dyDescent="0.2">
      <c r="B296" s="15"/>
      <c r="C296" s="15"/>
      <c r="D296" s="15"/>
      <c r="E296" s="15"/>
      <c r="F296" s="15"/>
      <c r="G296" s="15"/>
      <c r="H296" s="10"/>
      <c r="I296" s="10"/>
    </row>
    <row r="297" spans="2:9" x14ac:dyDescent="0.2">
      <c r="B297" s="15"/>
      <c r="C297" s="15"/>
      <c r="D297" s="15"/>
      <c r="E297" s="15"/>
      <c r="F297" s="15"/>
      <c r="G297" s="15"/>
      <c r="H297" s="10"/>
      <c r="I297" s="10"/>
    </row>
    <row r="298" spans="2:9" x14ac:dyDescent="0.2">
      <c r="B298" s="15"/>
      <c r="C298" s="15"/>
      <c r="D298" s="15"/>
      <c r="E298" s="15"/>
      <c r="F298" s="15"/>
      <c r="G298" s="15"/>
      <c r="H298" s="10"/>
      <c r="I298" s="10"/>
    </row>
    <row r="299" spans="2:9" x14ac:dyDescent="0.2">
      <c r="B299" s="15"/>
      <c r="C299" s="15"/>
      <c r="D299" s="15"/>
      <c r="E299" s="15"/>
      <c r="F299" s="15"/>
      <c r="G299" s="15"/>
      <c r="H299" s="10"/>
      <c r="I299" s="10"/>
    </row>
    <row r="300" spans="2:9" x14ac:dyDescent="0.2">
      <c r="B300" s="15"/>
      <c r="C300" s="15"/>
      <c r="D300" s="15"/>
      <c r="E300" s="15"/>
      <c r="F300" s="15"/>
      <c r="G300" s="15"/>
      <c r="H300" s="10"/>
      <c r="I300" s="10"/>
    </row>
    <row r="301" spans="2:9" x14ac:dyDescent="0.2">
      <c r="B301" s="15"/>
      <c r="C301" s="15"/>
      <c r="D301" s="15"/>
      <c r="E301" s="15"/>
      <c r="F301" s="15"/>
      <c r="G301" s="15"/>
      <c r="H301" s="10"/>
      <c r="I301" s="10"/>
    </row>
    <row r="302" spans="2:9" x14ac:dyDescent="0.2">
      <c r="B302" s="15"/>
      <c r="C302" s="15"/>
      <c r="D302" s="15"/>
      <c r="E302" s="15"/>
      <c r="F302" s="15"/>
      <c r="G302" s="15"/>
      <c r="H302" s="10"/>
      <c r="I302" s="10"/>
    </row>
    <row r="303" spans="2:9" x14ac:dyDescent="0.2">
      <c r="B303" s="15"/>
      <c r="C303" s="15"/>
      <c r="D303" s="15"/>
      <c r="E303" s="15"/>
      <c r="F303" s="15"/>
      <c r="G303" s="15"/>
      <c r="H303" s="10"/>
      <c r="I303" s="10"/>
    </row>
    <row r="304" spans="2:9" x14ac:dyDescent="0.2">
      <c r="B304" s="15"/>
      <c r="C304" s="15"/>
      <c r="D304" s="15"/>
      <c r="E304" s="15"/>
      <c r="F304" s="15"/>
      <c r="G304" s="15"/>
      <c r="H304" s="10"/>
      <c r="I304" s="10"/>
    </row>
    <row r="305" spans="2:9" x14ac:dyDescent="0.2">
      <c r="B305" s="15"/>
      <c r="C305" s="15"/>
      <c r="D305" s="15"/>
      <c r="E305" s="15"/>
      <c r="F305" s="15"/>
      <c r="G305" s="15"/>
      <c r="H305" s="10"/>
      <c r="I305" s="10"/>
    </row>
    <row r="306" spans="2:9" x14ac:dyDescent="0.2">
      <c r="B306" s="15"/>
      <c r="C306" s="15"/>
      <c r="D306" s="15"/>
      <c r="E306" s="15"/>
      <c r="F306" s="15"/>
      <c r="G306" s="15"/>
      <c r="H306" s="10"/>
      <c r="I306" s="10"/>
    </row>
    <row r="307" spans="2:9" x14ac:dyDescent="0.2">
      <c r="B307" s="15"/>
      <c r="C307" s="15"/>
      <c r="D307" s="15"/>
      <c r="E307" s="15"/>
      <c r="F307" s="15"/>
      <c r="G307" s="15"/>
      <c r="H307" s="10"/>
      <c r="I307" s="10"/>
    </row>
    <row r="308" spans="2:9" x14ac:dyDescent="0.2">
      <c r="B308" s="15"/>
      <c r="C308" s="15"/>
      <c r="D308" s="15"/>
      <c r="E308" s="15"/>
      <c r="F308" s="15"/>
      <c r="G308" s="15"/>
      <c r="H308" s="10"/>
      <c r="I308" s="10"/>
    </row>
    <row r="309" spans="2:9" x14ac:dyDescent="0.2">
      <c r="B309" s="15"/>
      <c r="C309" s="15"/>
      <c r="D309" s="15"/>
      <c r="E309" s="15"/>
      <c r="F309" s="15"/>
      <c r="G309" s="15"/>
      <c r="H309" s="10"/>
      <c r="I309" s="10"/>
    </row>
    <row r="310" spans="2:9" x14ac:dyDescent="0.2">
      <c r="B310" s="15"/>
      <c r="C310" s="15"/>
      <c r="D310" s="15"/>
      <c r="E310" s="15"/>
      <c r="F310" s="15"/>
      <c r="G310" s="15"/>
      <c r="H310" s="10"/>
      <c r="I310" s="10"/>
    </row>
    <row r="311" spans="2:9" x14ac:dyDescent="0.2">
      <c r="B311" s="15"/>
      <c r="C311" s="15"/>
      <c r="D311" s="15"/>
      <c r="E311" s="15"/>
      <c r="F311" s="15"/>
      <c r="G311" s="15"/>
      <c r="H311" s="10"/>
      <c r="I311" s="10"/>
    </row>
    <row r="312" spans="2:9" x14ac:dyDescent="0.2">
      <c r="B312" s="15"/>
      <c r="C312" s="15"/>
      <c r="D312" s="15"/>
      <c r="E312" s="15"/>
      <c r="F312" s="15"/>
      <c r="G312" s="15"/>
      <c r="H312" s="10"/>
      <c r="I312" s="10"/>
    </row>
    <row r="313" spans="2:9" x14ac:dyDescent="0.2">
      <c r="B313" s="15"/>
      <c r="C313" s="15"/>
      <c r="D313" s="15"/>
      <c r="E313" s="15"/>
      <c r="F313" s="15"/>
      <c r="G313" s="15"/>
      <c r="H313" s="10"/>
      <c r="I313" s="10"/>
    </row>
    <row r="314" spans="2:9" x14ac:dyDescent="0.2">
      <c r="B314" s="15"/>
      <c r="C314" s="15"/>
      <c r="D314" s="15"/>
      <c r="E314" s="15"/>
      <c r="F314" s="15"/>
      <c r="G314" s="15"/>
      <c r="H314" s="10"/>
      <c r="I314" s="10"/>
    </row>
    <row r="315" spans="2:9" x14ac:dyDescent="0.2">
      <c r="B315" s="15"/>
      <c r="C315" s="15"/>
      <c r="D315" s="15"/>
      <c r="E315" s="15"/>
      <c r="F315" s="15"/>
      <c r="G315" s="15"/>
      <c r="H315" s="10"/>
      <c r="I315" s="10"/>
    </row>
    <row r="316" spans="2:9" x14ac:dyDescent="0.2">
      <c r="B316" s="15"/>
      <c r="C316" s="15"/>
      <c r="D316" s="15"/>
      <c r="E316" s="15"/>
      <c r="F316" s="15"/>
      <c r="G316" s="15"/>
      <c r="H316" s="10"/>
      <c r="I316" s="10"/>
    </row>
    <row r="317" spans="2:9" x14ac:dyDescent="0.2">
      <c r="B317" s="15"/>
      <c r="C317" s="15"/>
      <c r="D317" s="15"/>
      <c r="E317" s="15"/>
      <c r="F317" s="15"/>
      <c r="G317" s="15"/>
      <c r="H317" s="10"/>
      <c r="I317" s="10"/>
    </row>
    <row r="318" spans="2:9" x14ac:dyDescent="0.2">
      <c r="B318" s="15"/>
      <c r="C318" s="15"/>
      <c r="D318" s="15"/>
      <c r="E318" s="15"/>
      <c r="F318" s="15"/>
      <c r="G318" s="15"/>
      <c r="H318" s="10"/>
      <c r="I318" s="10"/>
    </row>
    <row r="319" spans="2:9" x14ac:dyDescent="0.2">
      <c r="B319" s="15"/>
      <c r="C319" s="15"/>
      <c r="D319" s="15"/>
      <c r="E319" s="15"/>
      <c r="F319" s="15"/>
      <c r="G319" s="15"/>
      <c r="H319" s="10"/>
      <c r="I319" s="10"/>
    </row>
    <row r="320" spans="2:9" x14ac:dyDescent="0.2">
      <c r="B320" s="15"/>
      <c r="C320" s="15"/>
      <c r="D320" s="15"/>
      <c r="E320" s="15"/>
      <c r="F320" s="15"/>
      <c r="G320" s="15"/>
      <c r="H320" s="10"/>
      <c r="I320" s="10"/>
    </row>
    <row r="321" spans="2:9" x14ac:dyDescent="0.2">
      <c r="B321" s="15"/>
      <c r="C321" s="15"/>
      <c r="D321" s="15"/>
      <c r="E321" s="15"/>
      <c r="F321" s="15"/>
      <c r="G321" s="15"/>
      <c r="H321" s="10"/>
      <c r="I321" s="10"/>
    </row>
    <row r="322" spans="2:9" x14ac:dyDescent="0.2">
      <c r="B322" s="15"/>
      <c r="C322" s="15"/>
      <c r="D322" s="15"/>
      <c r="E322" s="15"/>
      <c r="F322" s="15"/>
      <c r="G322" s="15"/>
      <c r="H322" s="10"/>
      <c r="I322" s="10"/>
    </row>
    <row r="323" spans="2:9" x14ac:dyDescent="0.2">
      <c r="B323" s="15"/>
      <c r="C323" s="15"/>
      <c r="D323" s="15"/>
      <c r="E323" s="15"/>
      <c r="F323" s="15"/>
      <c r="G323" s="15"/>
      <c r="H323" s="10"/>
      <c r="I323" s="10"/>
    </row>
    <row r="324" spans="2:9" x14ac:dyDescent="0.2">
      <c r="B324" s="15"/>
      <c r="C324" s="15"/>
      <c r="D324" s="15"/>
      <c r="E324" s="15"/>
      <c r="F324" s="15"/>
      <c r="G324" s="15"/>
      <c r="H324" s="10"/>
      <c r="I324" s="10"/>
    </row>
    <row r="325" spans="2:9" x14ac:dyDescent="0.2">
      <c r="B325" s="15"/>
      <c r="C325" s="15"/>
      <c r="D325" s="15"/>
      <c r="E325" s="15"/>
      <c r="F325" s="15"/>
      <c r="G325" s="15"/>
      <c r="H325" s="10"/>
      <c r="I325" s="10"/>
    </row>
    <row r="326" spans="2:9" x14ac:dyDescent="0.2">
      <c r="B326" s="15"/>
      <c r="C326" s="15"/>
      <c r="D326" s="15"/>
      <c r="E326" s="15"/>
      <c r="F326" s="15"/>
      <c r="G326" s="15"/>
      <c r="H326" s="10"/>
      <c r="I326" s="10"/>
    </row>
    <row r="327" spans="2:9" x14ac:dyDescent="0.2">
      <c r="B327" s="15"/>
      <c r="C327" s="15"/>
      <c r="D327" s="15"/>
      <c r="E327" s="15"/>
      <c r="F327" s="15"/>
      <c r="G327" s="15"/>
      <c r="H327" s="10"/>
      <c r="I327" s="10"/>
    </row>
    <row r="328" spans="2:9" x14ac:dyDescent="0.2">
      <c r="B328" s="15"/>
      <c r="C328" s="15"/>
      <c r="D328" s="15"/>
      <c r="E328" s="15"/>
      <c r="F328" s="15"/>
      <c r="G328" s="15"/>
      <c r="H328" s="10"/>
      <c r="I328" s="10"/>
    </row>
    <row r="329" spans="2:9" x14ac:dyDescent="0.2">
      <c r="B329" s="15"/>
      <c r="C329" s="15"/>
      <c r="D329" s="15"/>
      <c r="E329" s="15"/>
      <c r="F329" s="15"/>
      <c r="G329" s="15"/>
      <c r="H329" s="10"/>
      <c r="I329" s="10"/>
    </row>
    <row r="330" spans="2:9" x14ac:dyDescent="0.2">
      <c r="B330" s="15"/>
      <c r="C330" s="15"/>
      <c r="D330" s="15"/>
      <c r="E330" s="15"/>
      <c r="F330" s="15"/>
      <c r="G330" s="15"/>
      <c r="H330" s="10"/>
      <c r="I330" s="10"/>
    </row>
    <row r="331" spans="2:9" x14ac:dyDescent="0.2">
      <c r="B331" s="15"/>
      <c r="C331" s="15"/>
      <c r="D331" s="15"/>
      <c r="E331" s="15"/>
      <c r="F331" s="15"/>
      <c r="G331" s="15"/>
      <c r="H331" s="10"/>
      <c r="I331" s="10"/>
    </row>
    <row r="332" spans="2:9" x14ac:dyDescent="0.2">
      <c r="B332" s="15"/>
      <c r="C332" s="15"/>
      <c r="D332" s="15"/>
      <c r="E332" s="15"/>
      <c r="F332" s="15"/>
      <c r="G332" s="15"/>
      <c r="H332" s="10"/>
      <c r="I332" s="10"/>
    </row>
    <row r="333" spans="2:9" x14ac:dyDescent="0.2">
      <c r="B333" s="15"/>
      <c r="C333" s="15"/>
      <c r="D333" s="15"/>
      <c r="E333" s="15"/>
      <c r="F333" s="15"/>
      <c r="G333" s="15"/>
      <c r="H333" s="10"/>
      <c r="I333" s="10"/>
    </row>
    <row r="334" spans="2:9" x14ac:dyDescent="0.2">
      <c r="B334" s="15"/>
      <c r="C334" s="15"/>
      <c r="D334" s="15"/>
      <c r="E334" s="15"/>
      <c r="F334" s="15"/>
      <c r="G334" s="15"/>
      <c r="H334" s="10"/>
      <c r="I334" s="10"/>
    </row>
    <row r="335" spans="2:9" x14ac:dyDescent="0.2">
      <c r="B335" s="15"/>
      <c r="C335" s="15"/>
      <c r="D335" s="15"/>
      <c r="E335" s="15"/>
      <c r="F335" s="15"/>
      <c r="G335" s="15"/>
      <c r="H335" s="10"/>
      <c r="I335" s="10"/>
    </row>
    <row r="336" spans="2:9" x14ac:dyDescent="0.2">
      <c r="B336" s="15"/>
      <c r="C336" s="15"/>
      <c r="D336" s="15"/>
      <c r="E336" s="15"/>
      <c r="F336" s="15"/>
      <c r="G336" s="15"/>
      <c r="H336" s="10"/>
      <c r="I336" s="10"/>
    </row>
    <row r="337" spans="2:9" x14ac:dyDescent="0.2">
      <c r="B337" s="15"/>
      <c r="C337" s="15"/>
      <c r="D337" s="15"/>
      <c r="E337" s="15"/>
      <c r="F337" s="15"/>
      <c r="G337" s="15"/>
      <c r="H337" s="10"/>
      <c r="I337" s="10"/>
    </row>
    <row r="338" spans="2:9" x14ac:dyDescent="0.2">
      <c r="B338" s="15"/>
      <c r="C338" s="15"/>
      <c r="D338" s="15"/>
      <c r="E338" s="15"/>
      <c r="F338" s="15"/>
      <c r="G338" s="15"/>
      <c r="H338" s="10"/>
      <c r="I338" s="10"/>
    </row>
    <row r="339" spans="2:9" x14ac:dyDescent="0.2">
      <c r="B339" s="15"/>
      <c r="C339" s="15"/>
      <c r="D339" s="15"/>
      <c r="E339" s="15"/>
      <c r="F339" s="15"/>
      <c r="G339" s="15"/>
      <c r="H339" s="10"/>
      <c r="I339" s="10"/>
    </row>
    <row r="340" spans="2:9" x14ac:dyDescent="0.2">
      <c r="B340" s="15"/>
      <c r="C340" s="15"/>
      <c r="D340" s="15"/>
      <c r="E340" s="15"/>
      <c r="F340" s="15"/>
      <c r="G340" s="15"/>
      <c r="H340" s="10"/>
      <c r="I340" s="10"/>
    </row>
    <row r="341" spans="2:9" x14ac:dyDescent="0.2">
      <c r="B341" s="15"/>
      <c r="C341" s="15"/>
      <c r="D341" s="15"/>
      <c r="E341" s="15"/>
      <c r="F341" s="15"/>
      <c r="G341" s="15"/>
      <c r="H341" s="10"/>
      <c r="I341" s="10"/>
    </row>
    <row r="342" spans="2:9" x14ac:dyDescent="0.2">
      <c r="B342" s="15"/>
      <c r="C342" s="15"/>
      <c r="D342" s="15"/>
      <c r="E342" s="15"/>
      <c r="F342" s="15"/>
      <c r="G342" s="15"/>
      <c r="H342" s="10"/>
      <c r="I342" s="10"/>
    </row>
    <row r="343" spans="2:9" x14ac:dyDescent="0.2">
      <c r="B343" s="15"/>
      <c r="C343" s="15"/>
      <c r="D343" s="15"/>
      <c r="E343" s="15"/>
      <c r="F343" s="15"/>
      <c r="G343" s="15"/>
      <c r="H343" s="10"/>
      <c r="I343" s="10"/>
    </row>
    <row r="344" spans="2:9" x14ac:dyDescent="0.2">
      <c r="B344" s="15"/>
      <c r="C344" s="15"/>
      <c r="D344" s="15"/>
      <c r="E344" s="15"/>
      <c r="F344" s="15"/>
      <c r="G344" s="15"/>
      <c r="H344" s="10"/>
      <c r="I344" s="10"/>
    </row>
    <row r="345" spans="2:9" x14ac:dyDescent="0.2">
      <c r="B345" s="15"/>
      <c r="C345" s="15"/>
      <c r="D345" s="15"/>
      <c r="E345" s="15"/>
      <c r="F345" s="15"/>
      <c r="G345" s="15"/>
      <c r="H345" s="10"/>
      <c r="I345" s="10"/>
    </row>
    <row r="346" spans="2:9" x14ac:dyDescent="0.2">
      <c r="B346" s="15"/>
      <c r="C346" s="15"/>
      <c r="D346" s="15"/>
      <c r="E346" s="15"/>
      <c r="F346" s="15"/>
      <c r="G346" s="15"/>
      <c r="H346" s="10"/>
      <c r="I346" s="10"/>
    </row>
    <row r="347" spans="2:9" x14ac:dyDescent="0.2">
      <c r="B347" s="15"/>
      <c r="C347" s="15"/>
      <c r="D347" s="15"/>
      <c r="E347" s="15"/>
      <c r="F347" s="15"/>
      <c r="G347" s="15"/>
      <c r="H347" s="10"/>
      <c r="I347" s="10"/>
    </row>
    <row r="348" spans="2:9" x14ac:dyDescent="0.2">
      <c r="B348" s="15"/>
      <c r="C348" s="15"/>
      <c r="D348" s="15"/>
      <c r="E348" s="15"/>
      <c r="F348" s="15"/>
      <c r="G348" s="15"/>
      <c r="H348" s="10"/>
      <c r="I348" s="10"/>
    </row>
    <row r="349" spans="2:9" x14ac:dyDescent="0.2">
      <c r="B349" s="15"/>
      <c r="C349" s="15"/>
      <c r="D349" s="15"/>
      <c r="E349" s="15"/>
      <c r="F349" s="15"/>
      <c r="G349" s="15"/>
      <c r="H349" s="10"/>
      <c r="I349" s="10"/>
    </row>
    <row r="350" spans="2:9" x14ac:dyDescent="0.2">
      <c r="B350" s="15"/>
      <c r="C350" s="15"/>
      <c r="D350" s="15"/>
      <c r="E350" s="15"/>
      <c r="F350" s="15"/>
      <c r="G350" s="15"/>
      <c r="H350" s="10"/>
      <c r="I350" s="10"/>
    </row>
    <row r="351" spans="2:9" x14ac:dyDescent="0.2">
      <c r="B351" s="15"/>
      <c r="C351" s="15"/>
      <c r="D351" s="15"/>
      <c r="E351" s="15"/>
      <c r="F351" s="15"/>
      <c r="G351" s="15"/>
      <c r="H351" s="10"/>
      <c r="I351" s="10"/>
    </row>
    <row r="352" spans="2:9" x14ac:dyDescent="0.2">
      <c r="B352" s="15"/>
      <c r="C352" s="15"/>
      <c r="D352" s="15"/>
      <c r="E352" s="15"/>
      <c r="F352" s="15"/>
      <c r="G352" s="15"/>
      <c r="H352" s="10"/>
      <c r="I352" s="10"/>
    </row>
    <row r="353" spans="2:9" x14ac:dyDescent="0.2">
      <c r="B353" s="15"/>
      <c r="C353" s="15"/>
      <c r="D353" s="15"/>
      <c r="E353" s="15"/>
      <c r="F353" s="15"/>
      <c r="G353" s="15"/>
      <c r="H353" s="10"/>
      <c r="I353" s="10"/>
    </row>
    <row r="354" spans="2:9" x14ac:dyDescent="0.2">
      <c r="B354" s="15"/>
      <c r="C354" s="15"/>
      <c r="D354" s="15"/>
      <c r="E354" s="15"/>
      <c r="F354" s="15"/>
      <c r="G354" s="15"/>
      <c r="H354" s="10"/>
      <c r="I354" s="10"/>
    </row>
    <row r="355" spans="2:9" x14ac:dyDescent="0.2">
      <c r="B355" s="15"/>
      <c r="C355" s="15"/>
      <c r="D355" s="15"/>
      <c r="E355" s="15"/>
      <c r="F355" s="15"/>
      <c r="G355" s="15"/>
      <c r="H355" s="10"/>
      <c r="I355" s="10"/>
    </row>
    <row r="356" spans="2:9" x14ac:dyDescent="0.2">
      <c r="B356" s="15"/>
      <c r="C356" s="15"/>
      <c r="D356" s="15"/>
      <c r="E356" s="15"/>
      <c r="F356" s="15"/>
      <c r="G356" s="15"/>
      <c r="H356" s="10"/>
      <c r="I356" s="10"/>
    </row>
    <row r="357" spans="2:9" x14ac:dyDescent="0.2">
      <c r="B357" s="15"/>
      <c r="C357" s="15"/>
      <c r="D357" s="15"/>
      <c r="E357" s="15"/>
      <c r="F357" s="15"/>
      <c r="G357" s="15"/>
      <c r="H357" s="10"/>
      <c r="I357" s="10"/>
    </row>
    <row r="358" spans="2:9" x14ac:dyDescent="0.2">
      <c r="B358" s="15"/>
      <c r="C358" s="15"/>
      <c r="D358" s="15"/>
      <c r="E358" s="15"/>
      <c r="F358" s="15"/>
      <c r="G358" s="15"/>
      <c r="H358" s="10"/>
      <c r="I358" s="10"/>
    </row>
    <row r="359" spans="2:9" x14ac:dyDescent="0.2">
      <c r="B359" s="15"/>
      <c r="C359" s="15"/>
      <c r="D359" s="15"/>
      <c r="E359" s="15"/>
      <c r="F359" s="15"/>
      <c r="G359" s="15"/>
      <c r="H359" s="10"/>
      <c r="I359" s="10"/>
    </row>
    <row r="360" spans="2:9" x14ac:dyDescent="0.2">
      <c r="B360" s="15"/>
      <c r="C360" s="15"/>
      <c r="D360" s="15"/>
      <c r="E360" s="15"/>
      <c r="F360" s="15"/>
      <c r="G360" s="15"/>
      <c r="H360" s="10"/>
      <c r="I360" s="10"/>
    </row>
    <row r="361" spans="2:9" x14ac:dyDescent="0.2">
      <c r="B361" s="15"/>
      <c r="C361" s="15"/>
      <c r="D361" s="15"/>
      <c r="E361" s="15"/>
      <c r="F361" s="15"/>
      <c r="G361" s="15"/>
      <c r="H361" s="10"/>
      <c r="I361" s="10"/>
    </row>
    <row r="362" spans="2:9" x14ac:dyDescent="0.2">
      <c r="B362" s="15"/>
      <c r="C362" s="15"/>
      <c r="D362" s="15"/>
      <c r="E362" s="15"/>
      <c r="F362" s="15"/>
      <c r="G362" s="15"/>
      <c r="H362" s="10"/>
      <c r="I362" s="10"/>
    </row>
    <row r="363" spans="2:9" x14ac:dyDescent="0.2">
      <c r="B363" s="15"/>
      <c r="C363" s="15"/>
      <c r="D363" s="15"/>
      <c r="E363" s="15"/>
      <c r="F363" s="15"/>
      <c r="G363" s="15"/>
      <c r="H363" s="10"/>
      <c r="I363" s="10"/>
    </row>
    <row r="364" spans="2:9" x14ac:dyDescent="0.2">
      <c r="B364" s="15"/>
      <c r="C364" s="15"/>
      <c r="D364" s="15"/>
      <c r="E364" s="15"/>
      <c r="F364" s="15"/>
      <c r="G364" s="15"/>
      <c r="H364" s="10"/>
      <c r="I364" s="10"/>
    </row>
    <row r="365" spans="2:9" x14ac:dyDescent="0.2">
      <c r="B365" s="15"/>
      <c r="C365" s="15"/>
      <c r="D365" s="15"/>
      <c r="E365" s="15"/>
      <c r="F365" s="15"/>
      <c r="G365" s="15"/>
      <c r="H365" s="10"/>
      <c r="I365" s="10"/>
    </row>
    <row r="366" spans="2:9" x14ac:dyDescent="0.2">
      <c r="B366" s="15"/>
      <c r="C366" s="15"/>
      <c r="D366" s="15"/>
      <c r="E366" s="15"/>
      <c r="F366" s="15"/>
      <c r="G366" s="15"/>
      <c r="H366" s="10"/>
      <c r="I366" s="10"/>
    </row>
    <row r="367" spans="2:9" x14ac:dyDescent="0.2">
      <c r="B367" s="15"/>
      <c r="C367" s="15"/>
      <c r="D367" s="15"/>
      <c r="E367" s="15"/>
      <c r="F367" s="15"/>
      <c r="G367" s="15"/>
      <c r="H367" s="10"/>
      <c r="I367" s="10"/>
    </row>
    <row r="368" spans="2:9" x14ac:dyDescent="0.2">
      <c r="B368" s="15"/>
      <c r="C368" s="15"/>
      <c r="D368" s="15"/>
      <c r="E368" s="15"/>
      <c r="F368" s="15"/>
      <c r="G368" s="15"/>
      <c r="H368" s="10"/>
      <c r="I368" s="10"/>
    </row>
    <row r="369" spans="2:9" x14ac:dyDescent="0.2">
      <c r="B369" s="15"/>
      <c r="C369" s="15"/>
      <c r="D369" s="15"/>
      <c r="E369" s="15"/>
      <c r="F369" s="15"/>
      <c r="G369" s="15"/>
      <c r="H369" s="10"/>
      <c r="I369" s="10"/>
    </row>
    <row r="370" spans="2:9" x14ac:dyDescent="0.2">
      <c r="B370" s="15"/>
      <c r="C370" s="15"/>
      <c r="D370" s="15"/>
      <c r="E370" s="15"/>
      <c r="F370" s="15"/>
      <c r="G370" s="15"/>
      <c r="H370" s="10"/>
      <c r="I370" s="10"/>
    </row>
    <row r="371" spans="2:9" x14ac:dyDescent="0.2">
      <c r="B371" s="15"/>
      <c r="C371" s="15"/>
      <c r="D371" s="15"/>
      <c r="E371" s="15"/>
      <c r="F371" s="15"/>
      <c r="G371" s="15"/>
      <c r="H371" s="10"/>
      <c r="I371" s="10"/>
    </row>
    <row r="372" spans="2:9" x14ac:dyDescent="0.2">
      <c r="B372" s="15"/>
      <c r="C372" s="15"/>
      <c r="D372" s="15"/>
      <c r="E372" s="15"/>
      <c r="F372" s="15"/>
      <c r="G372" s="15"/>
      <c r="H372" s="10"/>
      <c r="I372" s="10"/>
    </row>
    <row r="373" spans="2:9" x14ac:dyDescent="0.2">
      <c r="B373" s="15"/>
      <c r="C373" s="15"/>
      <c r="D373" s="15"/>
      <c r="E373" s="15"/>
      <c r="F373" s="15"/>
      <c r="G373" s="15"/>
      <c r="H373" s="10"/>
      <c r="I373" s="10"/>
    </row>
    <row r="374" spans="2:9" x14ac:dyDescent="0.2">
      <c r="B374" s="15"/>
      <c r="C374" s="15"/>
      <c r="D374" s="15"/>
      <c r="E374" s="15"/>
      <c r="F374" s="15"/>
      <c r="G374" s="15"/>
      <c r="H374" s="10"/>
      <c r="I374" s="10"/>
    </row>
    <row r="375" spans="2:9" x14ac:dyDescent="0.2">
      <c r="B375" s="15"/>
      <c r="C375" s="15"/>
      <c r="D375" s="15"/>
      <c r="E375" s="15"/>
      <c r="F375" s="15"/>
      <c r="G375" s="15"/>
      <c r="H375" s="10"/>
      <c r="I375" s="10"/>
    </row>
    <row r="376" spans="2:9" x14ac:dyDescent="0.2">
      <c r="B376" s="15"/>
      <c r="C376" s="15"/>
      <c r="D376" s="15"/>
      <c r="E376" s="15"/>
      <c r="F376" s="15"/>
      <c r="G376" s="15"/>
      <c r="H376" s="10"/>
      <c r="I376" s="10"/>
    </row>
    <row r="377" spans="2:9" x14ac:dyDescent="0.2">
      <c r="B377" s="15"/>
      <c r="C377" s="15"/>
      <c r="D377" s="15"/>
      <c r="E377" s="15"/>
      <c r="F377" s="15"/>
      <c r="G377" s="15"/>
      <c r="H377" s="10"/>
      <c r="I377" s="10"/>
    </row>
    <row r="378" spans="2:9" x14ac:dyDescent="0.2">
      <c r="B378" s="15"/>
      <c r="C378" s="15"/>
      <c r="D378" s="15"/>
      <c r="E378" s="15"/>
      <c r="F378" s="15"/>
      <c r="G378" s="15"/>
      <c r="H378" s="10"/>
      <c r="I378" s="10"/>
    </row>
    <row r="379" spans="2:9" x14ac:dyDescent="0.2">
      <c r="B379" s="15"/>
      <c r="C379" s="15"/>
      <c r="D379" s="15"/>
      <c r="E379" s="15"/>
      <c r="F379" s="15"/>
      <c r="G379" s="15"/>
      <c r="H379" s="10"/>
      <c r="I379" s="10"/>
    </row>
    <row r="380" spans="2:9" x14ac:dyDescent="0.2">
      <c r="B380" s="15"/>
      <c r="C380" s="15"/>
      <c r="D380" s="15"/>
      <c r="E380" s="15"/>
      <c r="F380" s="15"/>
      <c r="G380" s="15"/>
      <c r="H380" s="10"/>
      <c r="I380" s="10"/>
    </row>
    <row r="381" spans="2:9" x14ac:dyDescent="0.2">
      <c r="B381" s="15"/>
      <c r="C381" s="15"/>
      <c r="D381" s="15"/>
      <c r="E381" s="15"/>
      <c r="F381" s="15"/>
      <c r="G381" s="15"/>
      <c r="H381" s="10"/>
      <c r="I381" s="10"/>
    </row>
    <row r="382" spans="2:9" x14ac:dyDescent="0.2">
      <c r="B382" s="15"/>
      <c r="C382" s="15"/>
      <c r="D382" s="15"/>
      <c r="E382" s="15"/>
      <c r="F382" s="15"/>
      <c r="G382" s="15"/>
      <c r="H382" s="10"/>
      <c r="I382" s="10"/>
    </row>
    <row r="383" spans="2:9" x14ac:dyDescent="0.2">
      <c r="B383" s="15"/>
      <c r="C383" s="15"/>
      <c r="D383" s="15"/>
      <c r="E383" s="15"/>
      <c r="F383" s="15"/>
      <c r="G383" s="15"/>
      <c r="H383" s="10"/>
      <c r="I383" s="10"/>
    </row>
    <row r="384" spans="2:9" x14ac:dyDescent="0.2">
      <c r="B384" s="15"/>
      <c r="C384" s="15"/>
      <c r="D384" s="15"/>
      <c r="E384" s="15"/>
      <c r="F384" s="15"/>
      <c r="G384" s="15"/>
      <c r="H384" s="10"/>
      <c r="I384" s="10"/>
    </row>
    <row r="385" spans="2:9" x14ac:dyDescent="0.2">
      <c r="B385" s="15"/>
      <c r="C385" s="15"/>
      <c r="D385" s="15"/>
      <c r="E385" s="15"/>
      <c r="F385" s="15"/>
      <c r="G385" s="15"/>
      <c r="H385" s="10"/>
      <c r="I385" s="10"/>
    </row>
    <row r="386" spans="2:9" x14ac:dyDescent="0.2">
      <c r="B386" s="15"/>
      <c r="C386" s="15"/>
      <c r="D386" s="15"/>
      <c r="E386" s="15"/>
      <c r="F386" s="15"/>
      <c r="G386" s="15"/>
      <c r="H386" s="10"/>
      <c r="I386" s="10"/>
    </row>
    <row r="387" spans="2:9" x14ac:dyDescent="0.2">
      <c r="B387" s="15"/>
      <c r="C387" s="15"/>
      <c r="D387" s="15"/>
      <c r="E387" s="15"/>
      <c r="F387" s="15"/>
      <c r="G387" s="15"/>
      <c r="H387" s="10"/>
      <c r="I387" s="10"/>
    </row>
    <row r="388" spans="2:9" x14ac:dyDescent="0.2">
      <c r="B388" s="15"/>
      <c r="C388" s="15"/>
      <c r="D388" s="15"/>
      <c r="E388" s="15"/>
      <c r="F388" s="15"/>
      <c r="G388" s="15"/>
      <c r="H388" s="10"/>
      <c r="I388" s="10"/>
    </row>
    <row r="389" spans="2:9" x14ac:dyDescent="0.2">
      <c r="B389" s="15"/>
      <c r="C389" s="15"/>
      <c r="D389" s="15"/>
      <c r="E389" s="15"/>
      <c r="F389" s="15"/>
      <c r="G389" s="15"/>
      <c r="H389" s="10"/>
      <c r="I389" s="10"/>
    </row>
    <row r="390" spans="2:9" x14ac:dyDescent="0.2">
      <c r="B390" s="15"/>
      <c r="C390" s="15"/>
      <c r="D390" s="15"/>
      <c r="E390" s="15"/>
      <c r="F390" s="15"/>
      <c r="G390" s="15"/>
      <c r="H390" s="10"/>
      <c r="I390" s="10"/>
    </row>
    <row r="391" spans="2:9" x14ac:dyDescent="0.2">
      <c r="B391" s="15"/>
      <c r="C391" s="15"/>
      <c r="D391" s="15"/>
      <c r="E391" s="15"/>
      <c r="F391" s="15"/>
      <c r="G391" s="15"/>
      <c r="H391" s="10"/>
      <c r="I391" s="10"/>
    </row>
    <row r="392" spans="2:9" x14ac:dyDescent="0.2">
      <c r="B392" s="15"/>
      <c r="C392" s="15"/>
      <c r="D392" s="15"/>
      <c r="E392" s="15"/>
      <c r="F392" s="15"/>
      <c r="G392" s="15"/>
      <c r="H392" s="10"/>
      <c r="I392" s="10"/>
    </row>
    <row r="393" spans="2:9" x14ac:dyDescent="0.2">
      <c r="B393" s="15"/>
      <c r="C393" s="15"/>
      <c r="D393" s="15"/>
      <c r="E393" s="15"/>
      <c r="F393" s="15"/>
      <c r="G393" s="15"/>
      <c r="H393" s="10"/>
      <c r="I393" s="10"/>
    </row>
    <row r="394" spans="2:9" x14ac:dyDescent="0.2">
      <c r="B394" s="15"/>
      <c r="C394" s="15"/>
      <c r="D394" s="15"/>
      <c r="E394" s="15"/>
      <c r="F394" s="15"/>
      <c r="G394" s="15"/>
      <c r="H394" s="10"/>
      <c r="I394" s="10"/>
    </row>
    <row r="395" spans="2:9" x14ac:dyDescent="0.2">
      <c r="B395" s="15"/>
      <c r="C395" s="15"/>
      <c r="D395" s="15"/>
      <c r="E395" s="15"/>
      <c r="F395" s="15"/>
      <c r="G395" s="15"/>
      <c r="H395" s="10"/>
      <c r="I395" s="10"/>
    </row>
    <row r="396" spans="2:9" x14ac:dyDescent="0.2">
      <c r="B396" s="15"/>
      <c r="C396" s="15"/>
      <c r="D396" s="15"/>
      <c r="E396" s="15"/>
      <c r="F396" s="15"/>
      <c r="G396" s="15"/>
      <c r="H396" s="10"/>
      <c r="I396" s="10"/>
    </row>
    <row r="397" spans="2:9" x14ac:dyDescent="0.2">
      <c r="B397" s="15"/>
      <c r="C397" s="15"/>
      <c r="D397" s="15"/>
      <c r="E397" s="15"/>
      <c r="F397" s="15"/>
      <c r="G397" s="15"/>
      <c r="H397" s="10"/>
      <c r="I397" s="10"/>
    </row>
    <row r="398" spans="2:9" x14ac:dyDescent="0.2">
      <c r="B398" s="15"/>
      <c r="C398" s="15"/>
      <c r="D398" s="15"/>
      <c r="E398" s="15"/>
      <c r="F398" s="15"/>
      <c r="G398" s="15"/>
      <c r="H398" s="10"/>
      <c r="I398" s="10"/>
    </row>
    <row r="399" spans="2:9" x14ac:dyDescent="0.2">
      <c r="B399" s="15"/>
      <c r="C399" s="15"/>
      <c r="D399" s="15"/>
      <c r="E399" s="15"/>
      <c r="F399" s="15"/>
      <c r="G399" s="15"/>
      <c r="H399" s="10"/>
      <c r="I399" s="10"/>
    </row>
    <row r="400" spans="2:9" x14ac:dyDescent="0.2">
      <c r="B400" s="15"/>
      <c r="C400" s="15"/>
      <c r="D400" s="15"/>
      <c r="E400" s="15"/>
      <c r="F400" s="15"/>
      <c r="G400" s="15"/>
      <c r="H400" s="10"/>
      <c r="I400" s="10"/>
    </row>
    <row r="401" spans="2:9" x14ac:dyDescent="0.2">
      <c r="B401" s="15"/>
      <c r="C401" s="15"/>
      <c r="D401" s="15"/>
      <c r="E401" s="15"/>
      <c r="F401" s="15"/>
      <c r="G401" s="15"/>
      <c r="H401" s="10"/>
      <c r="I401" s="10"/>
    </row>
    <row r="402" spans="2:9" x14ac:dyDescent="0.2">
      <c r="B402" s="15"/>
      <c r="C402" s="15"/>
      <c r="D402" s="15"/>
      <c r="E402" s="15"/>
      <c r="F402" s="15"/>
      <c r="G402" s="15"/>
      <c r="H402" s="10"/>
      <c r="I402" s="10"/>
    </row>
    <row r="403" spans="2:9" x14ac:dyDescent="0.2">
      <c r="B403" s="15"/>
      <c r="C403" s="15"/>
      <c r="D403" s="15"/>
      <c r="E403" s="15"/>
      <c r="F403" s="15"/>
      <c r="G403" s="15"/>
      <c r="H403" s="10"/>
      <c r="I403" s="10"/>
    </row>
    <row r="404" spans="2:9" x14ac:dyDescent="0.2">
      <c r="B404" s="15"/>
      <c r="C404" s="15"/>
      <c r="D404" s="15"/>
      <c r="E404" s="15"/>
      <c r="F404" s="15"/>
      <c r="G404" s="15"/>
      <c r="H404" s="10"/>
      <c r="I404" s="10"/>
    </row>
    <row r="405" spans="2:9" x14ac:dyDescent="0.2">
      <c r="B405" s="15"/>
      <c r="C405" s="15"/>
      <c r="D405" s="15"/>
      <c r="E405" s="15"/>
      <c r="F405" s="15"/>
      <c r="G405" s="15"/>
      <c r="H405" s="10"/>
      <c r="I405" s="10"/>
    </row>
    <row r="406" spans="2:9" x14ac:dyDescent="0.2">
      <c r="B406" s="15"/>
      <c r="C406" s="15"/>
      <c r="D406" s="15"/>
      <c r="E406" s="15"/>
      <c r="F406" s="15"/>
      <c r="G406" s="15"/>
      <c r="H406" s="10"/>
      <c r="I406" s="10"/>
    </row>
    <row r="407" spans="2:9" x14ac:dyDescent="0.2">
      <c r="B407" s="15"/>
      <c r="C407" s="15"/>
      <c r="D407" s="15"/>
      <c r="E407" s="15"/>
      <c r="F407" s="15"/>
      <c r="G407" s="15"/>
      <c r="H407" s="10"/>
      <c r="I407" s="10"/>
    </row>
    <row r="408" spans="2:9" x14ac:dyDescent="0.2">
      <c r="B408" s="15"/>
      <c r="C408" s="15"/>
      <c r="D408" s="15"/>
      <c r="E408" s="15"/>
      <c r="F408" s="15"/>
      <c r="G408" s="15"/>
      <c r="H408" s="10"/>
      <c r="I408" s="10"/>
    </row>
    <row r="409" spans="2:9" x14ac:dyDescent="0.2">
      <c r="B409" s="15"/>
      <c r="C409" s="15"/>
      <c r="D409" s="15"/>
      <c r="E409" s="15"/>
      <c r="F409" s="15"/>
      <c r="G409" s="15"/>
      <c r="H409" s="10"/>
      <c r="I409" s="10"/>
    </row>
    <row r="410" spans="2:9" x14ac:dyDescent="0.2">
      <c r="B410" s="15"/>
      <c r="C410" s="15"/>
      <c r="D410" s="15"/>
      <c r="E410" s="15"/>
      <c r="F410" s="15"/>
      <c r="G410" s="15"/>
      <c r="H410" s="10"/>
      <c r="I410" s="10"/>
    </row>
    <row r="411" spans="2:9" x14ac:dyDescent="0.2">
      <c r="B411" s="15"/>
      <c r="C411" s="15"/>
      <c r="D411" s="15"/>
      <c r="E411" s="15"/>
      <c r="F411" s="15"/>
      <c r="G411" s="15"/>
      <c r="H411" s="10"/>
      <c r="I411" s="10"/>
    </row>
    <row r="412" spans="2:9" x14ac:dyDescent="0.2">
      <c r="B412" s="15"/>
      <c r="C412" s="15"/>
      <c r="D412" s="15"/>
      <c r="E412" s="15"/>
      <c r="F412" s="15"/>
      <c r="G412" s="15"/>
      <c r="H412" s="10"/>
      <c r="I412" s="10"/>
    </row>
    <row r="413" spans="2:9" x14ac:dyDescent="0.2">
      <c r="B413" s="15"/>
      <c r="C413" s="15"/>
      <c r="D413" s="15"/>
      <c r="E413" s="15"/>
      <c r="F413" s="15"/>
      <c r="G413" s="15"/>
      <c r="H413" s="10"/>
      <c r="I413" s="10"/>
    </row>
    <row r="414" spans="2:9" x14ac:dyDescent="0.2">
      <c r="B414" s="15"/>
      <c r="C414" s="15"/>
      <c r="D414" s="15"/>
      <c r="E414" s="15"/>
      <c r="F414" s="15"/>
      <c r="G414" s="15"/>
      <c r="H414" s="10"/>
      <c r="I414" s="10"/>
    </row>
    <row r="415" spans="2:9" x14ac:dyDescent="0.2">
      <c r="B415" s="15"/>
      <c r="C415" s="15"/>
      <c r="D415" s="15"/>
      <c r="E415" s="15"/>
      <c r="F415" s="15"/>
      <c r="G415" s="15"/>
      <c r="H415" s="10"/>
      <c r="I415" s="10"/>
    </row>
    <row r="416" spans="2:9" x14ac:dyDescent="0.2">
      <c r="B416" s="15"/>
      <c r="C416" s="15"/>
      <c r="D416" s="15"/>
      <c r="E416" s="15"/>
      <c r="F416" s="15"/>
      <c r="G416" s="15"/>
      <c r="H416" s="10"/>
      <c r="I416" s="10"/>
    </row>
    <row r="417" spans="2:9" x14ac:dyDescent="0.2">
      <c r="B417" s="15"/>
      <c r="C417" s="15"/>
      <c r="D417" s="15"/>
      <c r="E417" s="15"/>
      <c r="F417" s="15"/>
      <c r="G417" s="15"/>
      <c r="H417" s="10"/>
      <c r="I417" s="10"/>
    </row>
    <row r="418" spans="2:9" x14ac:dyDescent="0.2">
      <c r="B418" s="15"/>
      <c r="C418" s="15"/>
      <c r="D418" s="15"/>
      <c r="E418" s="15"/>
      <c r="F418" s="15"/>
      <c r="G418" s="15"/>
      <c r="H418" s="10"/>
      <c r="I418" s="10"/>
    </row>
    <row r="419" spans="2:9" x14ac:dyDescent="0.2">
      <c r="B419" s="15"/>
      <c r="C419" s="15"/>
      <c r="D419" s="15"/>
      <c r="E419" s="15"/>
      <c r="F419" s="15"/>
      <c r="G419" s="15"/>
      <c r="H419" s="10"/>
      <c r="I419" s="10"/>
    </row>
    <row r="420" spans="2:9" x14ac:dyDescent="0.2">
      <c r="B420" s="15"/>
      <c r="C420" s="15"/>
      <c r="D420" s="15"/>
      <c r="E420" s="15"/>
      <c r="F420" s="15"/>
      <c r="G420" s="15"/>
      <c r="H420" s="10"/>
      <c r="I420" s="10"/>
    </row>
    <row r="421" spans="2:9" x14ac:dyDescent="0.2">
      <c r="B421" s="15"/>
      <c r="C421" s="15"/>
      <c r="D421" s="15"/>
      <c r="E421" s="15"/>
      <c r="F421" s="15"/>
      <c r="G421" s="15"/>
      <c r="H421" s="10"/>
      <c r="I421" s="10"/>
    </row>
    <row r="422" spans="2:9" x14ac:dyDescent="0.2">
      <c r="B422" s="15"/>
      <c r="C422" s="15"/>
      <c r="D422" s="15"/>
      <c r="E422" s="15"/>
      <c r="F422" s="15"/>
      <c r="G422" s="15"/>
      <c r="H422" s="10"/>
      <c r="I422" s="10"/>
    </row>
    <row r="423" spans="2:9" x14ac:dyDescent="0.2">
      <c r="B423" s="15"/>
      <c r="C423" s="15"/>
      <c r="D423" s="15"/>
      <c r="E423" s="15"/>
      <c r="F423" s="15"/>
      <c r="G423" s="15"/>
      <c r="H423" s="10"/>
      <c r="I423" s="10"/>
    </row>
    <row r="424" spans="2:9" x14ac:dyDescent="0.2">
      <c r="B424" s="15"/>
      <c r="C424" s="15"/>
      <c r="D424" s="15"/>
      <c r="E424" s="15"/>
      <c r="F424" s="15"/>
      <c r="G424" s="15"/>
      <c r="H424" s="10"/>
      <c r="I424" s="10"/>
    </row>
    <row r="425" spans="2:9" x14ac:dyDescent="0.2">
      <c r="B425" s="15"/>
      <c r="C425" s="15"/>
      <c r="D425" s="15"/>
      <c r="E425" s="15"/>
      <c r="F425" s="15"/>
      <c r="G425" s="15"/>
      <c r="H425" s="10"/>
      <c r="I425" s="10"/>
    </row>
    <row r="426" spans="2:9" x14ac:dyDescent="0.2">
      <c r="B426" s="15"/>
      <c r="C426" s="15"/>
      <c r="D426" s="15"/>
      <c r="E426" s="15"/>
      <c r="F426" s="15"/>
      <c r="G426" s="15"/>
      <c r="H426" s="10"/>
      <c r="I426" s="10"/>
    </row>
    <row r="427" spans="2:9" x14ac:dyDescent="0.2">
      <c r="B427" s="15"/>
      <c r="C427" s="15"/>
      <c r="D427" s="15"/>
      <c r="E427" s="15"/>
      <c r="F427" s="15"/>
      <c r="G427" s="15"/>
      <c r="H427" s="10"/>
      <c r="I427" s="10"/>
    </row>
    <row r="428" spans="2:9" x14ac:dyDescent="0.2">
      <c r="B428" s="15"/>
      <c r="C428" s="15"/>
      <c r="D428" s="15"/>
      <c r="E428" s="15"/>
      <c r="F428" s="15"/>
      <c r="G428" s="15"/>
      <c r="H428" s="10"/>
      <c r="I428" s="10"/>
    </row>
    <row r="429" spans="2:9" x14ac:dyDescent="0.2">
      <c r="B429" s="15"/>
      <c r="C429" s="15"/>
      <c r="D429" s="15"/>
      <c r="E429" s="15"/>
      <c r="F429" s="15"/>
      <c r="G429" s="15"/>
      <c r="H429" s="10"/>
      <c r="I429" s="10"/>
    </row>
    <row r="430" spans="2:9" x14ac:dyDescent="0.2">
      <c r="B430" s="15"/>
      <c r="C430" s="15"/>
      <c r="D430" s="15"/>
      <c r="E430" s="15"/>
      <c r="F430" s="15"/>
      <c r="G430" s="15"/>
      <c r="H430" s="10"/>
      <c r="I430" s="10"/>
    </row>
    <row r="431" spans="2:9" x14ac:dyDescent="0.2">
      <c r="B431" s="15"/>
      <c r="C431" s="15"/>
      <c r="D431" s="15"/>
      <c r="E431" s="15"/>
      <c r="F431" s="15"/>
      <c r="G431" s="15"/>
      <c r="H431" s="10"/>
      <c r="I431" s="10"/>
    </row>
    <row r="432" spans="2:9" x14ac:dyDescent="0.2">
      <c r="B432" s="15"/>
      <c r="C432" s="15"/>
      <c r="D432" s="15"/>
      <c r="E432" s="15"/>
      <c r="F432" s="15"/>
      <c r="G432" s="15"/>
      <c r="H432" s="10"/>
      <c r="I432" s="10"/>
    </row>
    <row r="433" spans="2:9" x14ac:dyDescent="0.2">
      <c r="B433" s="15"/>
      <c r="C433" s="15"/>
      <c r="D433" s="15"/>
      <c r="E433" s="15"/>
      <c r="F433" s="15"/>
      <c r="G433" s="15"/>
      <c r="H433" s="10"/>
      <c r="I433" s="10"/>
    </row>
    <row r="434" spans="2:9" x14ac:dyDescent="0.2">
      <c r="B434" s="15"/>
      <c r="C434" s="15"/>
      <c r="D434" s="15"/>
      <c r="E434" s="15"/>
      <c r="F434" s="15"/>
      <c r="G434" s="15"/>
      <c r="H434" s="10"/>
      <c r="I434" s="10"/>
    </row>
    <row r="435" spans="2:9" x14ac:dyDescent="0.2">
      <c r="B435" s="15"/>
      <c r="C435" s="15"/>
      <c r="D435" s="15"/>
      <c r="E435" s="15"/>
      <c r="F435" s="15"/>
      <c r="G435" s="15"/>
      <c r="H435" s="10"/>
      <c r="I435" s="10"/>
    </row>
    <row r="436" spans="2:9" x14ac:dyDescent="0.2">
      <c r="B436" s="15"/>
      <c r="C436" s="15"/>
      <c r="D436" s="15"/>
      <c r="E436" s="15"/>
      <c r="F436" s="15"/>
      <c r="G436" s="15"/>
      <c r="H436" s="10"/>
      <c r="I436" s="10"/>
    </row>
    <row r="437" spans="2:9" x14ac:dyDescent="0.2">
      <c r="B437" s="15"/>
      <c r="C437" s="15"/>
      <c r="D437" s="15"/>
      <c r="E437" s="15"/>
      <c r="F437" s="15"/>
      <c r="G437" s="15"/>
      <c r="H437" s="10"/>
      <c r="I437" s="10"/>
    </row>
    <row r="438" spans="2:9" x14ac:dyDescent="0.2">
      <c r="B438" s="15"/>
      <c r="C438" s="15"/>
      <c r="D438" s="15"/>
      <c r="E438" s="15"/>
      <c r="F438" s="15"/>
      <c r="G438" s="15"/>
      <c r="H438" s="10"/>
      <c r="I438" s="10"/>
    </row>
    <row r="439" spans="2:9" x14ac:dyDescent="0.2">
      <c r="B439" s="15"/>
      <c r="C439" s="15"/>
      <c r="D439" s="15"/>
      <c r="E439" s="15"/>
      <c r="F439" s="15"/>
      <c r="G439" s="15"/>
      <c r="H439" s="10"/>
      <c r="I439" s="10"/>
    </row>
    <row r="440" spans="2:9" x14ac:dyDescent="0.2">
      <c r="B440" s="15"/>
      <c r="C440" s="15"/>
      <c r="D440" s="15"/>
      <c r="E440" s="15"/>
      <c r="F440" s="15"/>
      <c r="G440" s="15"/>
      <c r="H440" s="10"/>
      <c r="I440" s="10"/>
    </row>
    <row r="441" spans="2:9" x14ac:dyDescent="0.2">
      <c r="B441" s="15"/>
      <c r="C441" s="15"/>
      <c r="D441" s="15"/>
      <c r="E441" s="15"/>
      <c r="F441" s="15"/>
      <c r="G441" s="15"/>
      <c r="H441" s="10"/>
      <c r="I441" s="10"/>
    </row>
    <row r="442" spans="2:9" x14ac:dyDescent="0.2">
      <c r="B442" s="15"/>
      <c r="C442" s="15"/>
      <c r="D442" s="15"/>
      <c r="E442" s="15"/>
      <c r="F442" s="15"/>
      <c r="G442" s="15"/>
      <c r="H442" s="10"/>
      <c r="I442" s="10"/>
    </row>
    <row r="443" spans="2:9" x14ac:dyDescent="0.2">
      <c r="B443" s="15"/>
      <c r="C443" s="15"/>
      <c r="D443" s="15"/>
      <c r="E443" s="15"/>
      <c r="F443" s="15"/>
      <c r="G443" s="15"/>
      <c r="H443" s="10"/>
      <c r="I443" s="10"/>
    </row>
    <row r="444" spans="2:9" x14ac:dyDescent="0.2">
      <c r="B444" s="15"/>
      <c r="C444" s="15"/>
      <c r="D444" s="15"/>
      <c r="E444" s="15"/>
      <c r="F444" s="15"/>
      <c r="G444" s="15"/>
      <c r="H444" s="10"/>
      <c r="I444" s="10"/>
    </row>
    <row r="445" spans="2:9" x14ac:dyDescent="0.2">
      <c r="B445" s="15"/>
      <c r="C445" s="15"/>
      <c r="D445" s="15"/>
      <c r="E445" s="15"/>
      <c r="F445" s="15"/>
      <c r="G445" s="15"/>
      <c r="H445" s="10"/>
      <c r="I445" s="10"/>
    </row>
    <row r="446" spans="2:9" x14ac:dyDescent="0.2">
      <c r="B446" s="15"/>
      <c r="C446" s="15"/>
      <c r="D446" s="15"/>
      <c r="E446" s="15"/>
      <c r="F446" s="15"/>
      <c r="G446" s="15"/>
      <c r="H446" s="10"/>
      <c r="I446" s="10"/>
    </row>
    <row r="447" spans="2:9" x14ac:dyDescent="0.2">
      <c r="B447" s="15"/>
      <c r="C447" s="15"/>
      <c r="D447" s="15"/>
      <c r="E447" s="15"/>
      <c r="F447" s="15"/>
      <c r="G447" s="15"/>
      <c r="H447" s="10"/>
      <c r="I447" s="10"/>
    </row>
    <row r="448" spans="2:9" x14ac:dyDescent="0.2">
      <c r="B448" s="15"/>
      <c r="C448" s="15"/>
      <c r="D448" s="15"/>
      <c r="E448" s="15"/>
      <c r="F448" s="15"/>
      <c r="G448" s="15"/>
      <c r="H448" s="10"/>
      <c r="I448" s="10"/>
    </row>
    <row r="449" spans="2:9" x14ac:dyDescent="0.2">
      <c r="B449" s="15"/>
      <c r="C449" s="15"/>
      <c r="D449" s="15"/>
      <c r="E449" s="15"/>
      <c r="F449" s="15"/>
      <c r="G449" s="15"/>
      <c r="H449" s="10"/>
      <c r="I449" s="10"/>
    </row>
    <row r="450" spans="2:9" x14ac:dyDescent="0.2">
      <c r="B450" s="15"/>
      <c r="C450" s="15"/>
      <c r="D450" s="15"/>
      <c r="E450" s="15"/>
      <c r="F450" s="15"/>
      <c r="G450" s="15"/>
      <c r="H450" s="10"/>
      <c r="I450" s="10"/>
    </row>
    <row r="451" spans="2:9" x14ac:dyDescent="0.2">
      <c r="B451" s="15"/>
      <c r="C451" s="15"/>
      <c r="D451" s="15"/>
      <c r="E451" s="15"/>
      <c r="F451" s="15"/>
      <c r="G451" s="15"/>
      <c r="H451" s="10"/>
      <c r="I451" s="10"/>
    </row>
    <row r="452" spans="2:9" x14ac:dyDescent="0.2">
      <c r="B452" s="15"/>
      <c r="C452" s="15"/>
      <c r="D452" s="15"/>
      <c r="E452" s="15"/>
      <c r="F452" s="15"/>
      <c r="G452" s="15"/>
      <c r="H452" s="10"/>
      <c r="I452" s="10"/>
    </row>
    <row r="453" spans="2:9" x14ac:dyDescent="0.2">
      <c r="B453" s="15"/>
      <c r="C453" s="15"/>
      <c r="D453" s="15"/>
      <c r="E453" s="15"/>
      <c r="F453" s="15"/>
      <c r="G453" s="15"/>
      <c r="H453" s="10"/>
      <c r="I453" s="10"/>
    </row>
    <row r="454" spans="2:9" x14ac:dyDescent="0.2">
      <c r="B454" s="15"/>
      <c r="C454" s="15"/>
      <c r="D454" s="15"/>
      <c r="E454" s="15"/>
      <c r="F454" s="15"/>
      <c r="G454" s="15"/>
      <c r="H454" s="10"/>
      <c r="I454" s="10"/>
    </row>
    <row r="455" spans="2:9" x14ac:dyDescent="0.2">
      <c r="B455" s="15"/>
      <c r="C455" s="15"/>
      <c r="D455" s="15"/>
      <c r="E455" s="15"/>
      <c r="F455" s="15"/>
      <c r="G455" s="15"/>
      <c r="H455" s="10"/>
      <c r="I455" s="10"/>
    </row>
    <row r="456" spans="2:9" x14ac:dyDescent="0.2">
      <c r="B456" s="15"/>
      <c r="C456" s="15"/>
      <c r="D456" s="15"/>
      <c r="E456" s="15"/>
      <c r="F456" s="15"/>
      <c r="G456" s="15"/>
      <c r="H456" s="10"/>
      <c r="I456" s="10"/>
    </row>
    <row r="457" spans="2:9" x14ac:dyDescent="0.2">
      <c r="B457" s="15"/>
      <c r="C457" s="15"/>
      <c r="D457" s="15"/>
      <c r="E457" s="15"/>
      <c r="F457" s="15"/>
      <c r="G457" s="15"/>
      <c r="H457" s="10"/>
      <c r="I457" s="10"/>
    </row>
    <row r="458" spans="2:9" x14ac:dyDescent="0.2">
      <c r="B458" s="15"/>
      <c r="C458" s="15"/>
      <c r="D458" s="15"/>
      <c r="E458" s="15"/>
      <c r="F458" s="15"/>
      <c r="G458" s="15"/>
      <c r="H458" s="10"/>
      <c r="I458" s="10"/>
    </row>
    <row r="459" spans="2:9" x14ac:dyDescent="0.2">
      <c r="B459" s="15"/>
      <c r="C459" s="15"/>
      <c r="D459" s="15"/>
      <c r="E459" s="15"/>
      <c r="F459" s="15"/>
      <c r="G459" s="15"/>
      <c r="H459" s="10"/>
      <c r="I459" s="10"/>
    </row>
    <row r="460" spans="2:9" x14ac:dyDescent="0.2">
      <c r="B460" s="15"/>
      <c r="C460" s="15"/>
      <c r="D460" s="15"/>
      <c r="E460" s="15"/>
      <c r="F460" s="15"/>
      <c r="G460" s="15"/>
      <c r="H460" s="10"/>
      <c r="I460" s="10"/>
    </row>
    <row r="461" spans="2:9" x14ac:dyDescent="0.2">
      <c r="B461" s="15"/>
      <c r="C461" s="15"/>
      <c r="D461" s="15"/>
      <c r="E461" s="15"/>
      <c r="F461" s="15"/>
      <c r="G461" s="15"/>
      <c r="H461" s="10"/>
      <c r="I461" s="10"/>
    </row>
    <row r="462" spans="2:9" x14ac:dyDescent="0.2">
      <c r="B462" s="15"/>
      <c r="C462" s="15"/>
      <c r="D462" s="15"/>
      <c r="E462" s="15"/>
      <c r="F462" s="15"/>
      <c r="G462" s="15"/>
      <c r="H462" s="10"/>
      <c r="I462" s="10"/>
    </row>
    <row r="463" spans="2:9" x14ac:dyDescent="0.2">
      <c r="B463" s="15"/>
      <c r="C463" s="15"/>
      <c r="D463" s="15"/>
      <c r="E463" s="15"/>
      <c r="F463" s="15"/>
      <c r="G463" s="15"/>
      <c r="H463" s="10"/>
      <c r="I463" s="10"/>
    </row>
    <row r="464" spans="2:9" x14ac:dyDescent="0.2">
      <c r="B464" s="15"/>
      <c r="C464" s="15"/>
      <c r="D464" s="15"/>
      <c r="E464" s="15"/>
      <c r="F464" s="15"/>
      <c r="G464" s="15"/>
      <c r="H464" s="10"/>
      <c r="I464" s="10"/>
    </row>
    <row r="465" spans="2:9" x14ac:dyDescent="0.2">
      <c r="B465" s="15"/>
      <c r="C465" s="15"/>
      <c r="D465" s="15"/>
      <c r="E465" s="15"/>
      <c r="F465" s="15"/>
      <c r="G465" s="15"/>
      <c r="H465" s="10"/>
      <c r="I465" s="10"/>
    </row>
  </sheetData>
  <phoneticPr fontId="0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6"/>
  <sheetViews>
    <sheetView workbookViewId="0">
      <selection activeCell="B23" sqref="B23"/>
    </sheetView>
  </sheetViews>
  <sheetFormatPr defaultRowHeight="12.75" x14ac:dyDescent="0.2"/>
  <cols>
    <col min="1" max="1" width="16.42578125" customWidth="1"/>
    <col min="2" max="2" width="20.28515625" customWidth="1"/>
    <col min="3" max="4" width="13.85546875" bestFit="1" customWidth="1"/>
    <col min="5" max="6" width="12.140625" bestFit="1" customWidth="1"/>
    <col min="7" max="7" width="12.140625" customWidth="1"/>
    <col min="8" max="9" width="12.140625" bestFit="1" customWidth="1"/>
    <col min="10" max="10" width="11.140625" bestFit="1" customWidth="1"/>
  </cols>
  <sheetData>
    <row r="1" spans="1:10" ht="20.25" x14ac:dyDescent="0.3">
      <c r="A1" s="178" t="s">
        <v>24</v>
      </c>
      <c r="B1" s="179"/>
      <c r="C1" s="180" t="s">
        <v>22</v>
      </c>
      <c r="D1" s="180"/>
      <c r="E1" s="180"/>
      <c r="F1" s="180"/>
      <c r="G1" s="180"/>
      <c r="H1" s="180"/>
      <c r="I1" s="180"/>
      <c r="J1" s="181"/>
    </row>
    <row r="2" spans="1:10" ht="25.5" x14ac:dyDescent="0.2">
      <c r="A2" s="182" t="s">
        <v>17</v>
      </c>
      <c r="B2" s="183" t="s">
        <v>0</v>
      </c>
      <c r="C2" s="28" t="s">
        <v>18</v>
      </c>
      <c r="D2" s="177" t="s">
        <v>13</v>
      </c>
      <c r="E2" s="177" t="s">
        <v>14</v>
      </c>
      <c r="F2" s="177" t="s">
        <v>12</v>
      </c>
      <c r="G2" s="183" t="s">
        <v>19</v>
      </c>
      <c r="H2" s="177" t="s">
        <v>20</v>
      </c>
      <c r="I2" s="177" t="s">
        <v>11</v>
      </c>
      <c r="J2" s="177" t="s">
        <v>15</v>
      </c>
    </row>
    <row r="3" spans="1:10" x14ac:dyDescent="0.2">
      <c r="A3" s="182"/>
      <c r="B3" s="184"/>
      <c r="C3" s="29" t="s">
        <v>23</v>
      </c>
      <c r="D3" s="185"/>
      <c r="E3" s="177"/>
      <c r="F3" s="177"/>
      <c r="G3" s="184"/>
      <c r="H3" s="177"/>
      <c r="I3" s="177"/>
      <c r="J3" s="177"/>
    </row>
    <row r="4" spans="1:10" ht="15" x14ac:dyDescent="0.25">
      <c r="A4" s="23" t="s">
        <v>21</v>
      </c>
      <c r="B4" s="25" t="s">
        <v>4</v>
      </c>
      <c r="C4" s="25">
        <f t="shared" ref="C4:I4" si="0">SUM(C5:C57)</f>
        <v>94430</v>
      </c>
      <c r="D4" s="25" t="e">
        <f>D5</f>
        <v>#REF!</v>
      </c>
      <c r="E4" s="25" t="e">
        <f t="shared" si="0"/>
        <v>#REF!</v>
      </c>
      <c r="F4" s="25" t="e">
        <f t="shared" si="0"/>
        <v>#REF!</v>
      </c>
      <c r="G4" s="25">
        <f t="shared" si="0"/>
        <v>89250</v>
      </c>
      <c r="H4" s="25">
        <f t="shared" si="0"/>
        <v>51606</v>
      </c>
      <c r="I4" s="25" t="e">
        <f t="shared" si="0"/>
        <v>#REF!</v>
      </c>
      <c r="J4" s="25" t="e">
        <f>J5</f>
        <v>#REF!</v>
      </c>
    </row>
    <row r="5" spans="1:10" ht="15.75" x14ac:dyDescent="0.2">
      <c r="A5" s="22">
        <v>1</v>
      </c>
      <c r="B5" s="24" t="s">
        <v>16</v>
      </c>
      <c r="C5" s="26">
        <f>116100+1280-22950</f>
        <v>94430</v>
      </c>
      <c r="D5" s="21" t="e">
        <f>#REF!</f>
        <v>#REF!</v>
      </c>
      <c r="E5" s="21" t="e">
        <f>#REF!</f>
        <v>#REF!</v>
      </c>
      <c r="F5" s="21" t="e">
        <f>C5+D5-E5</f>
        <v>#REF!</v>
      </c>
      <c r="G5" s="27">
        <v>89250</v>
      </c>
      <c r="H5" s="21">
        <f>92148-27144-26676+100000-24102-25974-21060-23166-28782+100000-26910-26208-22230-23868+100000-8658-28080-30500-28314+100000-28080-17500-26442-18720+100000-31326-29952-16850</f>
        <v>51606</v>
      </c>
      <c r="I5" s="21" t="e">
        <f>F5-G5-H5</f>
        <v>#REF!</v>
      </c>
      <c r="J5" s="21" t="e">
        <f>#REF!</f>
        <v>#REF!</v>
      </c>
    </row>
    <row r="14" spans="1:10" x14ac:dyDescent="0.2">
      <c r="E14" s="30"/>
      <c r="G14" s="30"/>
    </row>
    <row r="15" spans="1:10" x14ac:dyDescent="0.2">
      <c r="A15" s="30"/>
    </row>
    <row r="16" spans="1:10" x14ac:dyDescent="0.2">
      <c r="D16" s="30"/>
    </row>
  </sheetData>
  <mergeCells count="11">
    <mergeCell ref="J2:J3"/>
    <mergeCell ref="A1:B1"/>
    <mergeCell ref="C1:J1"/>
    <mergeCell ref="A2:A3"/>
    <mergeCell ref="B2:B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579"/>
  <sheetViews>
    <sheetView tabSelected="1" zoomScaleNormal="100" workbookViewId="0">
      <pane xSplit="3" ySplit="4" topLeftCell="D5" activePane="bottomRight" state="frozen"/>
      <selection activeCell="B363" sqref="B363"/>
      <selection pane="topRight" activeCell="B363" sqref="B363"/>
      <selection pane="bottomLeft" activeCell="B363" sqref="B363"/>
      <selection pane="bottomRight" activeCell="I5" sqref="I5"/>
    </sheetView>
  </sheetViews>
  <sheetFormatPr defaultRowHeight="12.75" x14ac:dyDescent="0.2"/>
  <cols>
    <col min="1" max="1" width="5.85546875" style="37" bestFit="1" customWidth="1"/>
    <col min="2" max="2" width="52.42578125" style="37" bestFit="1" customWidth="1"/>
    <col min="3" max="3" width="24.140625" style="37" bestFit="1" customWidth="1"/>
    <col min="4" max="4" width="12.5703125" style="43" customWidth="1"/>
    <col min="5" max="5" width="11.28515625" style="43" customWidth="1"/>
    <col min="6" max="6" width="12.7109375" style="43" customWidth="1"/>
    <col min="7" max="7" width="14.7109375" style="43" customWidth="1"/>
    <col min="8" max="8" width="11.5703125" style="43" customWidth="1"/>
    <col min="9" max="9" width="11.28515625" style="43" bestFit="1" customWidth="1"/>
    <col min="10" max="10" width="10.5703125" style="43" bestFit="1" customWidth="1"/>
    <col min="11" max="11" width="11.85546875" style="44" customWidth="1"/>
    <col min="12" max="12" width="13" style="43" bestFit="1" customWidth="1"/>
    <col min="13" max="13" width="9.7109375" style="37" bestFit="1" customWidth="1"/>
    <col min="14" max="16384" width="9.140625" style="37"/>
  </cols>
  <sheetData>
    <row r="1" spans="1:13" ht="21" x14ac:dyDescent="0.2">
      <c r="A1" s="189" t="s">
        <v>1225</v>
      </c>
      <c r="B1" s="189"/>
      <c r="C1" s="191" t="s">
        <v>966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x14ac:dyDescent="0.2">
      <c r="A2" s="190" t="s">
        <v>31</v>
      </c>
      <c r="B2" s="190" t="s">
        <v>25</v>
      </c>
      <c r="C2" s="190" t="s">
        <v>87</v>
      </c>
      <c r="D2" s="38" t="s">
        <v>145</v>
      </c>
      <c r="E2" s="190" t="s">
        <v>89</v>
      </c>
      <c r="F2" s="190" t="s">
        <v>14</v>
      </c>
      <c r="G2" s="190" t="s">
        <v>32</v>
      </c>
      <c r="H2" s="190" t="s">
        <v>144</v>
      </c>
      <c r="I2" s="190" t="s">
        <v>143</v>
      </c>
      <c r="J2" s="190" t="s">
        <v>51</v>
      </c>
      <c r="K2" s="190" t="s">
        <v>30</v>
      </c>
      <c r="L2" s="190" t="s">
        <v>28</v>
      </c>
      <c r="M2" s="190" t="s">
        <v>88</v>
      </c>
    </row>
    <row r="3" spans="1:13" x14ac:dyDescent="0.2">
      <c r="A3" s="190"/>
      <c r="B3" s="190"/>
      <c r="C3" s="190"/>
      <c r="D3" s="39" t="s">
        <v>663</v>
      </c>
      <c r="E3" s="190"/>
      <c r="F3" s="190"/>
      <c r="G3" s="190"/>
      <c r="H3" s="190"/>
      <c r="I3" s="190"/>
      <c r="J3" s="190"/>
      <c r="K3" s="190"/>
      <c r="L3" s="190"/>
      <c r="M3" s="190"/>
    </row>
    <row r="4" spans="1:13" s="152" customFormat="1" ht="14.25" x14ac:dyDescent="0.2">
      <c r="A4" s="151" t="s">
        <v>140</v>
      </c>
      <c r="B4" s="163" t="s">
        <v>120</v>
      </c>
      <c r="C4" s="162" t="s">
        <v>141</v>
      </c>
      <c r="D4" s="164">
        <f t="shared" ref="D4:M4" si="0">SUM(D5:D22)</f>
        <v>6564</v>
      </c>
      <c r="E4" s="164">
        <f t="shared" si="0"/>
        <v>755794</v>
      </c>
      <c r="F4" s="164">
        <f t="shared" si="0"/>
        <v>761940</v>
      </c>
      <c r="G4" s="164">
        <f t="shared" si="0"/>
        <v>758022</v>
      </c>
      <c r="H4" s="164">
        <f t="shared" si="0"/>
        <v>418</v>
      </c>
      <c r="I4" s="164">
        <f t="shared" si="0"/>
        <v>418</v>
      </c>
      <c r="J4" s="164">
        <f t="shared" si="0"/>
        <v>0</v>
      </c>
      <c r="K4" s="164">
        <f t="shared" si="0"/>
        <v>755794</v>
      </c>
      <c r="L4" s="164">
        <f t="shared" si="0"/>
        <v>-6564</v>
      </c>
      <c r="M4" s="164">
        <f t="shared" si="0"/>
        <v>4336</v>
      </c>
    </row>
    <row r="5" spans="1:13" s="67" customFormat="1" ht="15.75" customHeight="1" x14ac:dyDescent="0.2">
      <c r="A5" s="48">
        <v>1</v>
      </c>
      <c r="B5" s="166" t="s">
        <v>92</v>
      </c>
      <c r="C5" s="166" t="s">
        <v>91</v>
      </c>
      <c r="D5" s="157">
        <v>0</v>
      </c>
      <c r="E5" s="157">
        <f>+'SMT KIT Rcvd '!D4</f>
        <v>106500</v>
      </c>
      <c r="F5" s="157">
        <f>+'Excise Dispatch '!D4</f>
        <v>106500</v>
      </c>
      <c r="G5" s="157">
        <f>+'PACK Prod'!D4</f>
        <v>106500</v>
      </c>
      <c r="H5" s="157">
        <f>D5+E5-F5</f>
        <v>0</v>
      </c>
      <c r="I5" s="158">
        <f t="shared" ref="I5:I22" si="1">G5+M5-F5</f>
        <v>0</v>
      </c>
      <c r="J5" s="157">
        <f t="shared" ref="J5:J22" si="2">+H5-I5</f>
        <v>0</v>
      </c>
      <c r="K5" s="157">
        <v>106500</v>
      </c>
      <c r="L5" s="159">
        <f t="shared" ref="L5:L22" si="3">K5-D5-E5</f>
        <v>0</v>
      </c>
      <c r="M5" s="157">
        <v>0</v>
      </c>
    </row>
    <row r="6" spans="1:13" s="67" customFormat="1" ht="15.75" customHeight="1" x14ac:dyDescent="0.2">
      <c r="A6" s="48">
        <v>2</v>
      </c>
      <c r="B6" s="166" t="s">
        <v>824</v>
      </c>
      <c r="C6" s="166" t="s">
        <v>823</v>
      </c>
      <c r="D6" s="157">
        <v>0</v>
      </c>
      <c r="E6" s="157">
        <f>+'SMT KIT Rcvd '!D5</f>
        <v>10000</v>
      </c>
      <c r="F6" s="157">
        <f>+'Excise Dispatch '!D5</f>
        <v>10000</v>
      </c>
      <c r="G6" s="157">
        <f>+'PACK Prod'!D5</f>
        <v>10000</v>
      </c>
      <c r="H6" s="157">
        <f t="shared" ref="H6:H22" si="4">D6+E6-F6</f>
        <v>0</v>
      </c>
      <c r="I6" s="158">
        <f t="shared" si="1"/>
        <v>0</v>
      </c>
      <c r="J6" s="157">
        <f t="shared" si="2"/>
        <v>0</v>
      </c>
      <c r="K6" s="157">
        <v>10000</v>
      </c>
      <c r="L6" s="159">
        <f t="shared" si="3"/>
        <v>0</v>
      </c>
      <c r="M6" s="157">
        <v>0</v>
      </c>
    </row>
    <row r="7" spans="1:13" s="67" customFormat="1" ht="15.75" customHeight="1" x14ac:dyDescent="0.2">
      <c r="A7" s="48">
        <v>3</v>
      </c>
      <c r="B7" s="166" t="s">
        <v>224</v>
      </c>
      <c r="C7" s="166" t="s">
        <v>223</v>
      </c>
      <c r="D7" s="157">
        <v>10</v>
      </c>
      <c r="E7" s="157">
        <f>+'SMT KIT Rcvd '!D6</f>
        <v>1600</v>
      </c>
      <c r="F7" s="157">
        <f>+'Excise Dispatch '!D6</f>
        <v>1312</v>
      </c>
      <c r="G7" s="157">
        <f>+'PACK Prod'!D6</f>
        <v>1312</v>
      </c>
      <c r="H7" s="157">
        <f t="shared" si="4"/>
        <v>298</v>
      </c>
      <c r="I7" s="158">
        <f t="shared" si="1"/>
        <v>298</v>
      </c>
      <c r="J7" s="157">
        <f t="shared" si="2"/>
        <v>0</v>
      </c>
      <c r="K7" s="157">
        <v>1600</v>
      </c>
      <c r="L7" s="159">
        <f t="shared" si="3"/>
        <v>-10</v>
      </c>
      <c r="M7" s="157">
        <v>298</v>
      </c>
    </row>
    <row r="8" spans="1:13" s="67" customFormat="1" ht="15.75" customHeight="1" x14ac:dyDescent="0.2">
      <c r="A8" s="48">
        <v>4</v>
      </c>
      <c r="B8" s="176" t="s">
        <v>1070</v>
      </c>
      <c r="C8" s="176" t="s">
        <v>1069</v>
      </c>
      <c r="D8" s="157">
        <v>0</v>
      </c>
      <c r="E8" s="157">
        <f>+'SMT KIT Rcvd '!D7</f>
        <v>500</v>
      </c>
      <c r="F8" s="157">
        <f>+'Excise Dispatch '!D7</f>
        <v>500</v>
      </c>
      <c r="G8" s="157">
        <f>+'PACK Prod'!D7</f>
        <v>500</v>
      </c>
      <c r="H8" s="157">
        <f t="shared" si="4"/>
        <v>0</v>
      </c>
      <c r="I8" s="158">
        <f t="shared" si="1"/>
        <v>0</v>
      </c>
      <c r="J8" s="157">
        <f t="shared" si="2"/>
        <v>0</v>
      </c>
      <c r="K8" s="157">
        <v>500</v>
      </c>
      <c r="L8" s="159">
        <f t="shared" si="3"/>
        <v>0</v>
      </c>
      <c r="M8" s="157">
        <v>0</v>
      </c>
    </row>
    <row r="9" spans="1:13" s="67" customFormat="1" ht="15.75" customHeight="1" x14ac:dyDescent="0.2">
      <c r="A9" s="48">
        <v>5</v>
      </c>
      <c r="B9" s="176" t="s">
        <v>1164</v>
      </c>
      <c r="C9" s="176" t="s">
        <v>1163</v>
      </c>
      <c r="D9" s="157">
        <v>0</v>
      </c>
      <c r="E9" s="157">
        <f>+'SMT KIT Rcvd '!D8</f>
        <v>40000</v>
      </c>
      <c r="F9" s="157">
        <f>+'Excise Dispatch '!D8</f>
        <v>40000</v>
      </c>
      <c r="G9" s="157">
        <f>+'PACK Prod'!D8</f>
        <v>40000</v>
      </c>
      <c r="H9" s="157">
        <f t="shared" si="4"/>
        <v>0</v>
      </c>
      <c r="I9" s="158">
        <f t="shared" si="1"/>
        <v>0</v>
      </c>
      <c r="J9" s="157">
        <f t="shared" si="2"/>
        <v>0</v>
      </c>
      <c r="K9" s="157">
        <v>40000</v>
      </c>
      <c r="L9" s="159">
        <f t="shared" si="3"/>
        <v>0</v>
      </c>
      <c r="M9" s="157">
        <v>0</v>
      </c>
    </row>
    <row r="10" spans="1:13" s="67" customFormat="1" ht="15.75" customHeight="1" x14ac:dyDescent="0.2">
      <c r="A10" s="48">
        <v>6</v>
      </c>
      <c r="B10" s="176" t="s">
        <v>1166</v>
      </c>
      <c r="C10" s="176" t="s">
        <v>1165</v>
      </c>
      <c r="D10" s="157">
        <v>0</v>
      </c>
      <c r="E10" s="157">
        <f>+'SMT KIT Rcvd '!D9</f>
        <v>120</v>
      </c>
      <c r="F10" s="157">
        <f>+'Excise Dispatch '!D9</f>
        <v>0</v>
      </c>
      <c r="G10" s="157">
        <f>+'PACK Prod'!D9</f>
        <v>120</v>
      </c>
      <c r="H10" s="157">
        <f t="shared" si="4"/>
        <v>120</v>
      </c>
      <c r="I10" s="158">
        <f t="shared" si="1"/>
        <v>120</v>
      </c>
      <c r="J10" s="157">
        <f t="shared" si="2"/>
        <v>0</v>
      </c>
      <c r="K10" s="157">
        <v>120</v>
      </c>
      <c r="L10" s="159">
        <f t="shared" si="3"/>
        <v>0</v>
      </c>
      <c r="M10" s="157">
        <v>0</v>
      </c>
    </row>
    <row r="11" spans="1:13" s="67" customFormat="1" ht="15.75" customHeight="1" x14ac:dyDescent="0.2">
      <c r="A11" s="48">
        <v>7</v>
      </c>
      <c r="B11" s="166" t="s">
        <v>276</v>
      </c>
      <c r="C11" s="166" t="s">
        <v>275</v>
      </c>
      <c r="D11" s="157">
        <v>0</v>
      </c>
      <c r="E11" s="157">
        <f>+'SMT KIT Rcvd '!D10</f>
        <v>4364</v>
      </c>
      <c r="F11" s="157">
        <f>+'Excise Dispatch '!D10</f>
        <v>4364</v>
      </c>
      <c r="G11" s="157">
        <f>+'PACK Prod'!D10</f>
        <v>4364</v>
      </c>
      <c r="H11" s="157">
        <f t="shared" si="4"/>
        <v>0</v>
      </c>
      <c r="I11" s="158">
        <f t="shared" si="1"/>
        <v>0</v>
      </c>
      <c r="J11" s="157">
        <f t="shared" si="2"/>
        <v>0</v>
      </c>
      <c r="K11" s="157">
        <v>4364</v>
      </c>
      <c r="L11" s="159">
        <f t="shared" si="3"/>
        <v>0</v>
      </c>
      <c r="M11" s="157">
        <v>0</v>
      </c>
    </row>
    <row r="12" spans="1:13" s="67" customFormat="1" ht="15.75" customHeight="1" x14ac:dyDescent="0.2">
      <c r="A12" s="48">
        <v>8</v>
      </c>
      <c r="B12" s="166" t="s">
        <v>752</v>
      </c>
      <c r="C12" s="166" t="s">
        <v>751</v>
      </c>
      <c r="D12" s="157">
        <v>7</v>
      </c>
      <c r="E12" s="157">
        <f>+'SMT KIT Rcvd '!D11</f>
        <v>19000</v>
      </c>
      <c r="F12" s="157">
        <f>+'Excise Dispatch '!D11</f>
        <v>19007</v>
      </c>
      <c r="G12" s="157">
        <f>+'PACK Prod'!D11</f>
        <v>19000</v>
      </c>
      <c r="H12" s="157">
        <f t="shared" si="4"/>
        <v>0</v>
      </c>
      <c r="I12" s="158">
        <f t="shared" si="1"/>
        <v>0</v>
      </c>
      <c r="J12" s="157">
        <f t="shared" si="2"/>
        <v>0</v>
      </c>
      <c r="K12" s="157">
        <v>19000</v>
      </c>
      <c r="L12" s="159">
        <f t="shared" si="3"/>
        <v>-7</v>
      </c>
      <c r="M12" s="157">
        <v>7</v>
      </c>
    </row>
    <row r="13" spans="1:13" s="67" customFormat="1" ht="15.75" customHeight="1" x14ac:dyDescent="0.2">
      <c r="A13" s="48">
        <v>9</v>
      </c>
      <c r="B13" s="166" t="s">
        <v>286</v>
      </c>
      <c r="C13" s="166" t="s">
        <v>285</v>
      </c>
      <c r="D13" s="157">
        <v>0</v>
      </c>
      <c r="E13" s="157">
        <f>+'SMT KIT Rcvd '!D12</f>
        <v>26300</v>
      </c>
      <c r="F13" s="157">
        <f>+'Excise Dispatch '!D12</f>
        <v>26300</v>
      </c>
      <c r="G13" s="157">
        <f>+'PACK Prod'!D12</f>
        <v>26300</v>
      </c>
      <c r="H13" s="157">
        <f t="shared" si="4"/>
        <v>0</v>
      </c>
      <c r="I13" s="158">
        <f t="shared" si="1"/>
        <v>0</v>
      </c>
      <c r="J13" s="157">
        <f t="shared" si="2"/>
        <v>0</v>
      </c>
      <c r="K13" s="157">
        <v>26300</v>
      </c>
      <c r="L13" s="159">
        <f t="shared" si="3"/>
        <v>0</v>
      </c>
      <c r="M13" s="157">
        <v>0</v>
      </c>
    </row>
    <row r="14" spans="1:13" s="67" customFormat="1" ht="15.75" customHeight="1" x14ac:dyDescent="0.2">
      <c r="A14" s="48">
        <v>10</v>
      </c>
      <c r="B14" s="166" t="s">
        <v>318</v>
      </c>
      <c r="C14" s="166" t="s">
        <v>317</v>
      </c>
      <c r="D14" s="157">
        <v>0</v>
      </c>
      <c r="E14" s="157">
        <f>+'SMT KIT Rcvd '!D13</f>
        <v>2000</v>
      </c>
      <c r="F14" s="157">
        <f>+'Excise Dispatch '!D13</f>
        <v>2000</v>
      </c>
      <c r="G14" s="157">
        <f>+'PACK Prod'!D13</f>
        <v>2000</v>
      </c>
      <c r="H14" s="157">
        <f t="shared" si="4"/>
        <v>0</v>
      </c>
      <c r="I14" s="158">
        <f t="shared" si="1"/>
        <v>0</v>
      </c>
      <c r="J14" s="157">
        <f t="shared" si="2"/>
        <v>0</v>
      </c>
      <c r="K14" s="157">
        <v>2000</v>
      </c>
      <c r="L14" s="159">
        <f t="shared" si="3"/>
        <v>0</v>
      </c>
      <c r="M14" s="157">
        <v>0</v>
      </c>
    </row>
    <row r="15" spans="1:13" s="67" customFormat="1" ht="15.75" customHeight="1" x14ac:dyDescent="0.2">
      <c r="A15" s="48">
        <v>11</v>
      </c>
      <c r="B15" s="166" t="s">
        <v>330</v>
      </c>
      <c r="C15" s="166" t="s">
        <v>329</v>
      </c>
      <c r="D15" s="157">
        <v>0</v>
      </c>
      <c r="E15" s="157">
        <f>+'SMT KIT Rcvd '!D14</f>
        <v>8500</v>
      </c>
      <c r="F15" s="157">
        <f>+'Excise Dispatch '!D14</f>
        <v>8500</v>
      </c>
      <c r="G15" s="157">
        <f>+'PACK Prod'!D14</f>
        <v>8500</v>
      </c>
      <c r="H15" s="157">
        <f t="shared" si="4"/>
        <v>0</v>
      </c>
      <c r="I15" s="158">
        <f t="shared" si="1"/>
        <v>0</v>
      </c>
      <c r="J15" s="157">
        <f t="shared" si="2"/>
        <v>0</v>
      </c>
      <c r="K15" s="157">
        <v>8500</v>
      </c>
      <c r="L15" s="159">
        <f t="shared" si="3"/>
        <v>0</v>
      </c>
      <c r="M15" s="157">
        <v>0</v>
      </c>
    </row>
    <row r="16" spans="1:13" s="67" customFormat="1" ht="15.75" customHeight="1" x14ac:dyDescent="0.2">
      <c r="A16" s="48">
        <v>12</v>
      </c>
      <c r="B16" s="176" t="s">
        <v>1128</v>
      </c>
      <c r="C16" s="176" t="s">
        <v>1127</v>
      </c>
      <c r="D16" s="157">
        <v>0</v>
      </c>
      <c r="E16" s="157">
        <f>+'SMT KIT Rcvd '!D15</f>
        <v>500</v>
      </c>
      <c r="F16" s="157">
        <f>+'Excise Dispatch '!D15</f>
        <v>500</v>
      </c>
      <c r="G16" s="157">
        <f>+'PACK Prod'!D15</f>
        <v>500</v>
      </c>
      <c r="H16" s="157">
        <f t="shared" si="4"/>
        <v>0</v>
      </c>
      <c r="I16" s="158">
        <f t="shared" si="1"/>
        <v>0</v>
      </c>
      <c r="J16" s="157">
        <f t="shared" si="2"/>
        <v>0</v>
      </c>
      <c r="K16" s="157">
        <v>500</v>
      </c>
      <c r="L16" s="159">
        <f t="shared" si="3"/>
        <v>0</v>
      </c>
      <c r="M16" s="157">
        <v>0</v>
      </c>
    </row>
    <row r="17" spans="1:13" s="67" customFormat="1" ht="15.75" customHeight="1" x14ac:dyDescent="0.2">
      <c r="A17" s="48">
        <v>13</v>
      </c>
      <c r="B17" s="166" t="s">
        <v>681</v>
      </c>
      <c r="C17" s="166" t="s">
        <v>680</v>
      </c>
      <c r="D17" s="157">
        <v>0</v>
      </c>
      <c r="E17" s="157">
        <f>+'SMT KIT Rcvd '!D16</f>
        <v>500</v>
      </c>
      <c r="F17" s="157">
        <f>+'Excise Dispatch '!D16</f>
        <v>500</v>
      </c>
      <c r="G17" s="157">
        <f>+'PACK Prod'!D16</f>
        <v>500</v>
      </c>
      <c r="H17" s="157">
        <f t="shared" si="4"/>
        <v>0</v>
      </c>
      <c r="I17" s="158">
        <f t="shared" si="1"/>
        <v>0</v>
      </c>
      <c r="J17" s="157">
        <f t="shared" si="2"/>
        <v>0</v>
      </c>
      <c r="K17" s="157">
        <v>500</v>
      </c>
      <c r="L17" s="159">
        <f t="shared" si="3"/>
        <v>0</v>
      </c>
      <c r="M17" s="157">
        <v>0</v>
      </c>
    </row>
    <row r="18" spans="1:13" s="67" customFormat="1" ht="15.75" customHeight="1" x14ac:dyDescent="0.2">
      <c r="A18" s="48">
        <v>14</v>
      </c>
      <c r="B18" s="176" t="s">
        <v>1068</v>
      </c>
      <c r="C18" s="176" t="s">
        <v>1067</v>
      </c>
      <c r="D18" s="157">
        <v>0</v>
      </c>
      <c r="E18" s="157">
        <f>+'SMT KIT Rcvd '!D17</f>
        <v>2620</v>
      </c>
      <c r="F18" s="157">
        <f>+'Excise Dispatch '!D17</f>
        <v>2620</v>
      </c>
      <c r="G18" s="157">
        <f>+'PACK Prod'!D17</f>
        <v>2620</v>
      </c>
      <c r="H18" s="157">
        <f t="shared" si="4"/>
        <v>0</v>
      </c>
      <c r="I18" s="158">
        <f t="shared" si="1"/>
        <v>0</v>
      </c>
      <c r="J18" s="157">
        <f t="shared" si="2"/>
        <v>0</v>
      </c>
      <c r="K18" s="157">
        <v>2620</v>
      </c>
      <c r="L18" s="159">
        <f t="shared" si="3"/>
        <v>0</v>
      </c>
      <c r="M18" s="157">
        <v>0</v>
      </c>
    </row>
    <row r="19" spans="1:13" s="67" customFormat="1" ht="15.75" customHeight="1" x14ac:dyDescent="0.2">
      <c r="A19" s="48">
        <v>15</v>
      </c>
      <c r="B19" s="166" t="s">
        <v>784</v>
      </c>
      <c r="C19" s="166" t="s">
        <v>783</v>
      </c>
      <c r="D19" s="157">
        <v>2024</v>
      </c>
      <c r="E19" s="157">
        <f>+'SMT KIT Rcvd '!D18</f>
        <v>11290</v>
      </c>
      <c r="F19" s="157">
        <f>+'Excise Dispatch '!D18</f>
        <v>13314</v>
      </c>
      <c r="G19" s="157">
        <f>+'PACK Prod'!D18</f>
        <v>13306</v>
      </c>
      <c r="H19" s="157">
        <f t="shared" si="4"/>
        <v>0</v>
      </c>
      <c r="I19" s="158">
        <f t="shared" si="1"/>
        <v>0</v>
      </c>
      <c r="J19" s="157">
        <f t="shared" si="2"/>
        <v>0</v>
      </c>
      <c r="K19" s="157">
        <v>11290</v>
      </c>
      <c r="L19" s="159">
        <f t="shared" si="3"/>
        <v>-2024</v>
      </c>
      <c r="M19" s="157">
        <v>8</v>
      </c>
    </row>
    <row r="20" spans="1:13" s="67" customFormat="1" ht="15.75" customHeight="1" x14ac:dyDescent="0.2">
      <c r="A20" s="48">
        <v>16</v>
      </c>
      <c r="B20" s="176" t="s">
        <v>425</v>
      </c>
      <c r="C20" s="176" t="s">
        <v>424</v>
      </c>
      <c r="D20" s="157">
        <v>500</v>
      </c>
      <c r="E20" s="157">
        <f>+'SMT KIT Rcvd '!D19</f>
        <v>47500</v>
      </c>
      <c r="F20" s="157">
        <f>+'Excise Dispatch '!D19</f>
        <v>48000</v>
      </c>
      <c r="G20" s="157">
        <f>+'PACK Prod'!D19</f>
        <v>48000</v>
      </c>
      <c r="H20" s="157">
        <f t="shared" si="4"/>
        <v>0</v>
      </c>
      <c r="I20" s="158">
        <f t="shared" si="1"/>
        <v>0</v>
      </c>
      <c r="J20" s="157">
        <f t="shared" si="2"/>
        <v>0</v>
      </c>
      <c r="K20" s="157">
        <v>47500</v>
      </c>
      <c r="L20" s="159">
        <f t="shared" si="3"/>
        <v>-500</v>
      </c>
      <c r="M20" s="157">
        <v>0</v>
      </c>
    </row>
    <row r="21" spans="1:13" s="67" customFormat="1" ht="15.75" customHeight="1" x14ac:dyDescent="0.2">
      <c r="A21" s="48">
        <v>17</v>
      </c>
      <c r="B21" s="166" t="s">
        <v>167</v>
      </c>
      <c r="C21" s="166" t="s">
        <v>166</v>
      </c>
      <c r="D21" s="157">
        <v>4023</v>
      </c>
      <c r="E21" s="157">
        <f>+'SMT KIT Rcvd '!D20</f>
        <v>461000</v>
      </c>
      <c r="F21" s="157">
        <f>+'Excise Dispatch '!D20</f>
        <v>465023</v>
      </c>
      <c r="G21" s="157">
        <f>+'PACK Prod'!D20</f>
        <v>461000</v>
      </c>
      <c r="H21" s="157">
        <f t="shared" si="4"/>
        <v>0</v>
      </c>
      <c r="I21" s="158">
        <f t="shared" si="1"/>
        <v>0</v>
      </c>
      <c r="J21" s="157">
        <f t="shared" si="2"/>
        <v>0</v>
      </c>
      <c r="K21" s="157">
        <v>461000</v>
      </c>
      <c r="L21" s="159">
        <f t="shared" si="3"/>
        <v>-4023</v>
      </c>
      <c r="M21" s="157">
        <v>4023</v>
      </c>
    </row>
    <row r="22" spans="1:13" s="67" customFormat="1" ht="15.75" customHeight="1" x14ac:dyDescent="0.2">
      <c r="A22" s="48">
        <v>18</v>
      </c>
      <c r="B22" s="166" t="s">
        <v>553</v>
      </c>
      <c r="C22" s="166" t="s">
        <v>552</v>
      </c>
      <c r="D22" s="157">
        <v>0</v>
      </c>
      <c r="E22" s="157">
        <f>+'SMT KIT Rcvd '!D21</f>
        <v>13500</v>
      </c>
      <c r="F22" s="157">
        <f>+'Excise Dispatch '!D21</f>
        <v>13500</v>
      </c>
      <c r="G22" s="157">
        <f>+'PACK Prod'!D21</f>
        <v>13500</v>
      </c>
      <c r="H22" s="157">
        <f t="shared" si="4"/>
        <v>0</v>
      </c>
      <c r="I22" s="158">
        <f t="shared" si="1"/>
        <v>0</v>
      </c>
      <c r="J22" s="157">
        <f t="shared" si="2"/>
        <v>0</v>
      </c>
      <c r="K22" s="157">
        <v>13500</v>
      </c>
      <c r="L22" s="159">
        <f t="shared" si="3"/>
        <v>0</v>
      </c>
      <c r="M22" s="157">
        <v>0</v>
      </c>
    </row>
    <row r="23" spans="1:13" s="152" customFormat="1" ht="14.25" customHeight="1" x14ac:dyDescent="0.2">
      <c r="A23" s="151" t="s">
        <v>140</v>
      </c>
      <c r="B23" s="163" t="s">
        <v>119</v>
      </c>
      <c r="C23" s="162" t="s">
        <v>141</v>
      </c>
      <c r="D23" s="164">
        <f t="shared" ref="D23:M23" si="5">SUM(D24:D54)</f>
        <v>26801</v>
      </c>
      <c r="E23" s="164">
        <f t="shared" si="5"/>
        <v>702750</v>
      </c>
      <c r="F23" s="164">
        <f t="shared" si="5"/>
        <v>720506</v>
      </c>
      <c r="G23" s="164">
        <f t="shared" si="5"/>
        <v>702874</v>
      </c>
      <c r="H23" s="164">
        <f t="shared" si="5"/>
        <v>9045</v>
      </c>
      <c r="I23" s="164">
        <f t="shared" si="5"/>
        <v>9045</v>
      </c>
      <c r="J23" s="164">
        <f t="shared" si="5"/>
        <v>0</v>
      </c>
      <c r="K23" s="164">
        <f t="shared" si="5"/>
        <v>702750</v>
      </c>
      <c r="L23" s="164">
        <f t="shared" si="5"/>
        <v>-26801</v>
      </c>
      <c r="M23" s="164">
        <f t="shared" si="5"/>
        <v>26677</v>
      </c>
    </row>
    <row r="24" spans="1:13" s="67" customFormat="1" ht="15.75" customHeight="1" x14ac:dyDescent="0.25">
      <c r="A24" s="48">
        <v>1</v>
      </c>
      <c r="B24" s="166" t="s">
        <v>291</v>
      </c>
      <c r="C24" s="166" t="s">
        <v>290</v>
      </c>
      <c r="D24" s="157">
        <v>5000</v>
      </c>
      <c r="E24" s="157">
        <f>+'SMT KIT Rcvd '!D23</f>
        <v>7500</v>
      </c>
      <c r="F24" s="157">
        <f>+'Excise Dispatch '!D23</f>
        <v>12500</v>
      </c>
      <c r="G24" s="157">
        <f>+'PACK Prod'!D23</f>
        <v>7500</v>
      </c>
      <c r="H24" s="157">
        <f t="shared" ref="H24:H54" si="6">D24+E24-F24</f>
        <v>0</v>
      </c>
      <c r="I24" s="158">
        <f t="shared" ref="I24:I54" si="7">G24+M24-F24</f>
        <v>0</v>
      </c>
      <c r="J24" s="157">
        <f t="shared" ref="J24:J54" si="8">+H24-I24</f>
        <v>0</v>
      </c>
      <c r="K24" s="160">
        <v>7500</v>
      </c>
      <c r="L24" s="159">
        <f t="shared" ref="L24:L54" si="9">K24-D24-E24</f>
        <v>-5000</v>
      </c>
      <c r="M24" s="157">
        <v>5000</v>
      </c>
    </row>
    <row r="25" spans="1:13" s="67" customFormat="1" ht="15.75" customHeight="1" x14ac:dyDescent="0.25">
      <c r="A25" s="48">
        <v>2</v>
      </c>
      <c r="B25" s="176" t="s">
        <v>986</v>
      </c>
      <c r="C25" s="176" t="s">
        <v>985</v>
      </c>
      <c r="D25" s="157">
        <v>0</v>
      </c>
      <c r="E25" s="157">
        <f>+'SMT KIT Rcvd '!D24</f>
        <v>10000</v>
      </c>
      <c r="F25" s="157">
        <f>+'Excise Dispatch '!D24</f>
        <v>9980</v>
      </c>
      <c r="G25" s="157">
        <f>+'PACK Prod'!D24</f>
        <v>10000</v>
      </c>
      <c r="H25" s="157">
        <f t="shared" si="6"/>
        <v>20</v>
      </c>
      <c r="I25" s="158">
        <f t="shared" si="7"/>
        <v>20</v>
      </c>
      <c r="J25" s="157">
        <f t="shared" si="8"/>
        <v>0</v>
      </c>
      <c r="K25" s="160">
        <v>10000</v>
      </c>
      <c r="L25" s="159">
        <f t="shared" si="9"/>
        <v>0</v>
      </c>
      <c r="M25" s="157">
        <v>0</v>
      </c>
    </row>
    <row r="26" spans="1:13" s="67" customFormat="1" ht="15.75" customHeight="1" x14ac:dyDescent="0.25">
      <c r="A26" s="48">
        <v>3</v>
      </c>
      <c r="B26" s="166" t="s">
        <v>849</v>
      </c>
      <c r="C26" s="166" t="s">
        <v>848</v>
      </c>
      <c r="D26" s="157">
        <v>100</v>
      </c>
      <c r="E26" s="157">
        <f>+'SMT KIT Rcvd '!D25</f>
        <v>0</v>
      </c>
      <c r="F26" s="157">
        <f>+'Excise Dispatch '!D25</f>
        <v>0</v>
      </c>
      <c r="G26" s="157">
        <f>+'PACK Prod'!D25</f>
        <v>0</v>
      </c>
      <c r="H26" s="157">
        <f t="shared" si="6"/>
        <v>100</v>
      </c>
      <c r="I26" s="158">
        <f t="shared" si="7"/>
        <v>100</v>
      </c>
      <c r="J26" s="157">
        <f t="shared" si="8"/>
        <v>0</v>
      </c>
      <c r="K26" s="160">
        <v>0</v>
      </c>
      <c r="L26" s="159">
        <f t="shared" si="9"/>
        <v>-100</v>
      </c>
      <c r="M26" s="157">
        <v>100</v>
      </c>
    </row>
    <row r="27" spans="1:13" s="67" customFormat="1" ht="15.75" customHeight="1" x14ac:dyDescent="0.25">
      <c r="A27" s="48">
        <v>4</v>
      </c>
      <c r="B27" s="176" t="s">
        <v>1122</v>
      </c>
      <c r="C27" s="176" t="s">
        <v>1121</v>
      </c>
      <c r="D27" s="157">
        <v>0</v>
      </c>
      <c r="E27" s="157">
        <f>+'SMT KIT Rcvd '!D26</f>
        <v>500</v>
      </c>
      <c r="F27" s="157">
        <f>+'Excise Dispatch '!D26</f>
        <v>500</v>
      </c>
      <c r="G27" s="157">
        <f>+'PACK Prod'!D26</f>
        <v>500</v>
      </c>
      <c r="H27" s="157">
        <f t="shared" si="6"/>
        <v>0</v>
      </c>
      <c r="I27" s="158">
        <f t="shared" si="7"/>
        <v>0</v>
      </c>
      <c r="J27" s="157">
        <f t="shared" si="8"/>
        <v>0</v>
      </c>
      <c r="K27" s="160">
        <v>500</v>
      </c>
      <c r="L27" s="159">
        <f t="shared" si="9"/>
        <v>0</v>
      </c>
      <c r="M27" s="157">
        <v>0</v>
      </c>
    </row>
    <row r="28" spans="1:13" s="67" customFormat="1" ht="15.75" customHeight="1" x14ac:dyDescent="0.25">
      <c r="A28" s="48">
        <v>5</v>
      </c>
      <c r="B28" s="166" t="s">
        <v>328</v>
      </c>
      <c r="C28" s="166" t="s">
        <v>327</v>
      </c>
      <c r="D28" s="157">
        <v>40</v>
      </c>
      <c r="E28" s="157">
        <f>+'SMT KIT Rcvd '!D27</f>
        <v>8000</v>
      </c>
      <c r="F28" s="157">
        <f>+'Excise Dispatch '!D27</f>
        <v>7840</v>
      </c>
      <c r="G28" s="157">
        <f>+'PACK Prod'!D27</f>
        <v>8000</v>
      </c>
      <c r="H28" s="157">
        <f t="shared" si="6"/>
        <v>200</v>
      </c>
      <c r="I28" s="158">
        <f t="shared" si="7"/>
        <v>200</v>
      </c>
      <c r="J28" s="157">
        <f t="shared" si="8"/>
        <v>0</v>
      </c>
      <c r="K28" s="160">
        <v>8000</v>
      </c>
      <c r="L28" s="159">
        <f t="shared" si="9"/>
        <v>-40</v>
      </c>
      <c r="M28" s="157">
        <v>40</v>
      </c>
    </row>
    <row r="29" spans="1:13" s="67" customFormat="1" ht="15.75" customHeight="1" x14ac:dyDescent="0.25">
      <c r="A29" s="48">
        <v>6</v>
      </c>
      <c r="B29" s="176" t="s">
        <v>1073</v>
      </c>
      <c r="C29" s="176" t="s">
        <v>1071</v>
      </c>
      <c r="D29" s="157">
        <v>0</v>
      </c>
      <c r="E29" s="157">
        <f>+'SMT KIT Rcvd '!D28</f>
        <v>500</v>
      </c>
      <c r="F29" s="157">
        <f>+'Excise Dispatch '!D28</f>
        <v>500</v>
      </c>
      <c r="G29" s="157">
        <f>+'PACK Prod'!D28</f>
        <v>500</v>
      </c>
      <c r="H29" s="157">
        <f t="shared" si="6"/>
        <v>0</v>
      </c>
      <c r="I29" s="158">
        <f t="shared" si="7"/>
        <v>0</v>
      </c>
      <c r="J29" s="157">
        <f t="shared" si="8"/>
        <v>0</v>
      </c>
      <c r="K29" s="160">
        <v>500</v>
      </c>
      <c r="L29" s="159">
        <f t="shared" si="9"/>
        <v>0</v>
      </c>
      <c r="M29" s="157">
        <v>0</v>
      </c>
    </row>
    <row r="30" spans="1:13" s="67" customFormat="1" ht="15.75" customHeight="1" x14ac:dyDescent="0.25">
      <c r="A30" s="48">
        <v>7</v>
      </c>
      <c r="B30" s="176" t="s">
        <v>1074</v>
      </c>
      <c r="C30" s="176" t="s">
        <v>1072</v>
      </c>
      <c r="D30" s="157">
        <v>0</v>
      </c>
      <c r="E30" s="157">
        <f>+'SMT KIT Rcvd '!D29</f>
        <v>500</v>
      </c>
      <c r="F30" s="157">
        <f>+'Excise Dispatch '!D29</f>
        <v>500</v>
      </c>
      <c r="G30" s="157">
        <f>+'PACK Prod'!D29</f>
        <v>500</v>
      </c>
      <c r="H30" s="157">
        <f t="shared" si="6"/>
        <v>0</v>
      </c>
      <c r="I30" s="158">
        <f t="shared" si="7"/>
        <v>0</v>
      </c>
      <c r="J30" s="157">
        <f t="shared" si="8"/>
        <v>0</v>
      </c>
      <c r="K30" s="160">
        <v>500</v>
      </c>
      <c r="L30" s="159">
        <f t="shared" si="9"/>
        <v>0</v>
      </c>
      <c r="M30" s="157">
        <v>0</v>
      </c>
    </row>
    <row r="31" spans="1:13" s="67" customFormat="1" ht="15.75" customHeight="1" x14ac:dyDescent="0.25">
      <c r="A31" s="48">
        <v>8</v>
      </c>
      <c r="B31" s="176" t="s">
        <v>1194</v>
      </c>
      <c r="C31" s="176" t="s">
        <v>1193</v>
      </c>
      <c r="D31" s="157">
        <v>0</v>
      </c>
      <c r="E31" s="157">
        <f>+'SMT KIT Rcvd '!D30</f>
        <v>500</v>
      </c>
      <c r="F31" s="157">
        <f>+'Excise Dispatch '!D30</f>
        <v>500</v>
      </c>
      <c r="G31" s="157">
        <f>+'PACK Prod'!D30</f>
        <v>500</v>
      </c>
      <c r="H31" s="157">
        <f t="shared" si="6"/>
        <v>0</v>
      </c>
      <c r="I31" s="158">
        <f t="shared" si="7"/>
        <v>0</v>
      </c>
      <c r="J31" s="157">
        <f t="shared" si="8"/>
        <v>0</v>
      </c>
      <c r="K31" s="160">
        <v>500</v>
      </c>
      <c r="L31" s="159">
        <f t="shared" si="9"/>
        <v>0</v>
      </c>
      <c r="M31" s="157">
        <v>0</v>
      </c>
    </row>
    <row r="32" spans="1:13" s="67" customFormat="1" ht="15.75" customHeight="1" x14ac:dyDescent="0.25">
      <c r="A32" s="48">
        <v>9</v>
      </c>
      <c r="B32" s="176" t="s">
        <v>895</v>
      </c>
      <c r="C32" s="176" t="s">
        <v>894</v>
      </c>
      <c r="D32" s="157">
        <v>9380</v>
      </c>
      <c r="E32" s="157">
        <f>+'SMT KIT Rcvd '!D31</f>
        <v>30000</v>
      </c>
      <c r="F32" s="157">
        <f>+'Excise Dispatch '!D31</f>
        <v>39380</v>
      </c>
      <c r="G32" s="157">
        <f>+'PACK Prod'!D31</f>
        <v>30120</v>
      </c>
      <c r="H32" s="157">
        <f t="shared" si="6"/>
        <v>0</v>
      </c>
      <c r="I32" s="158">
        <f t="shared" si="7"/>
        <v>0</v>
      </c>
      <c r="J32" s="157">
        <f t="shared" si="8"/>
        <v>0</v>
      </c>
      <c r="K32" s="160">
        <v>30000</v>
      </c>
      <c r="L32" s="159">
        <f t="shared" si="9"/>
        <v>-9380</v>
      </c>
      <c r="M32" s="157">
        <v>9260</v>
      </c>
    </row>
    <row r="33" spans="1:13" s="67" customFormat="1" ht="15.75" customHeight="1" x14ac:dyDescent="0.25">
      <c r="A33" s="48">
        <v>10</v>
      </c>
      <c r="B33" s="176" t="s">
        <v>1064</v>
      </c>
      <c r="C33" s="176" t="s">
        <v>1063</v>
      </c>
      <c r="D33" s="157">
        <v>0</v>
      </c>
      <c r="E33" s="157">
        <f>+'SMT KIT Rcvd '!D32</f>
        <v>42500</v>
      </c>
      <c r="F33" s="157">
        <f>+'Excise Dispatch '!D32</f>
        <v>42500</v>
      </c>
      <c r="G33" s="157">
        <f>+'PACK Prod'!D32</f>
        <v>42500</v>
      </c>
      <c r="H33" s="157">
        <f t="shared" si="6"/>
        <v>0</v>
      </c>
      <c r="I33" s="158">
        <f t="shared" si="7"/>
        <v>0</v>
      </c>
      <c r="J33" s="157">
        <f t="shared" si="8"/>
        <v>0</v>
      </c>
      <c r="K33" s="160">
        <v>42500</v>
      </c>
      <c r="L33" s="159">
        <f t="shared" si="9"/>
        <v>0</v>
      </c>
      <c r="M33" s="157">
        <v>0</v>
      </c>
    </row>
    <row r="34" spans="1:13" s="67" customFormat="1" ht="15.75" customHeight="1" x14ac:dyDescent="0.25">
      <c r="A34" s="48">
        <v>11</v>
      </c>
      <c r="B34" s="166" t="s">
        <v>582</v>
      </c>
      <c r="C34" s="166" t="s">
        <v>580</v>
      </c>
      <c r="D34" s="157">
        <v>0</v>
      </c>
      <c r="E34" s="157">
        <f>+'SMT KIT Rcvd '!D33</f>
        <v>21300</v>
      </c>
      <c r="F34" s="157">
        <f>+'Excise Dispatch '!D33</f>
        <v>20900</v>
      </c>
      <c r="G34" s="157">
        <f>+'PACK Prod'!D33</f>
        <v>21300</v>
      </c>
      <c r="H34" s="157">
        <f t="shared" si="6"/>
        <v>400</v>
      </c>
      <c r="I34" s="158">
        <f t="shared" si="7"/>
        <v>400</v>
      </c>
      <c r="J34" s="157">
        <f t="shared" si="8"/>
        <v>0</v>
      </c>
      <c r="K34" s="160">
        <v>21300</v>
      </c>
      <c r="L34" s="159">
        <f t="shared" si="9"/>
        <v>0</v>
      </c>
      <c r="M34" s="157">
        <v>0</v>
      </c>
    </row>
    <row r="35" spans="1:13" s="67" customFormat="1" ht="15.75" customHeight="1" x14ac:dyDescent="0.25">
      <c r="A35" s="48">
        <v>12</v>
      </c>
      <c r="B35" s="166" t="s">
        <v>320</v>
      </c>
      <c r="C35" s="166" t="s">
        <v>581</v>
      </c>
      <c r="D35" s="157">
        <v>0</v>
      </c>
      <c r="E35" s="157">
        <f>+'SMT KIT Rcvd '!D34</f>
        <v>378500</v>
      </c>
      <c r="F35" s="157">
        <f>+'Excise Dispatch '!D34</f>
        <v>373500</v>
      </c>
      <c r="G35" s="157">
        <f>+'PACK Prod'!D34</f>
        <v>378500</v>
      </c>
      <c r="H35" s="157">
        <f t="shared" si="6"/>
        <v>5000</v>
      </c>
      <c r="I35" s="158">
        <f t="shared" si="7"/>
        <v>5000</v>
      </c>
      <c r="J35" s="157">
        <f t="shared" si="8"/>
        <v>0</v>
      </c>
      <c r="K35" s="160">
        <v>378500</v>
      </c>
      <c r="L35" s="159">
        <f t="shared" si="9"/>
        <v>0</v>
      </c>
      <c r="M35" s="157">
        <v>0</v>
      </c>
    </row>
    <row r="36" spans="1:13" s="67" customFormat="1" ht="15.75" customHeight="1" x14ac:dyDescent="0.25">
      <c r="A36" s="48">
        <v>13</v>
      </c>
      <c r="B36" s="166" t="s">
        <v>543</v>
      </c>
      <c r="C36" s="166" t="s">
        <v>542</v>
      </c>
      <c r="D36" s="157">
        <v>0</v>
      </c>
      <c r="E36" s="157">
        <f>+'SMT KIT Rcvd '!D35</f>
        <v>2500</v>
      </c>
      <c r="F36" s="157">
        <f>+'Excise Dispatch '!D35</f>
        <v>2500</v>
      </c>
      <c r="G36" s="157">
        <f>+'PACK Prod'!D35</f>
        <v>2500</v>
      </c>
      <c r="H36" s="157">
        <f t="shared" si="6"/>
        <v>0</v>
      </c>
      <c r="I36" s="158">
        <f t="shared" si="7"/>
        <v>0</v>
      </c>
      <c r="J36" s="157">
        <f t="shared" si="8"/>
        <v>0</v>
      </c>
      <c r="K36" s="160">
        <v>2500</v>
      </c>
      <c r="L36" s="159">
        <f t="shared" si="9"/>
        <v>0</v>
      </c>
      <c r="M36" s="157">
        <v>0</v>
      </c>
    </row>
    <row r="37" spans="1:13" s="67" customFormat="1" ht="15.75" customHeight="1" x14ac:dyDescent="0.25">
      <c r="A37" s="48">
        <v>14</v>
      </c>
      <c r="B37" s="166" t="s">
        <v>226</v>
      </c>
      <c r="C37" s="166" t="s">
        <v>225</v>
      </c>
      <c r="D37" s="157">
        <v>178</v>
      </c>
      <c r="E37" s="157">
        <f>+'SMT KIT Rcvd '!D36</f>
        <v>1600</v>
      </c>
      <c r="F37" s="157">
        <f>+'Excise Dispatch '!D36</f>
        <v>1600</v>
      </c>
      <c r="G37" s="157">
        <f>+'PACK Prod'!D36</f>
        <v>1600</v>
      </c>
      <c r="H37" s="157">
        <f t="shared" si="6"/>
        <v>178</v>
      </c>
      <c r="I37" s="158">
        <f t="shared" si="7"/>
        <v>178</v>
      </c>
      <c r="J37" s="157">
        <f t="shared" si="8"/>
        <v>0</v>
      </c>
      <c r="K37" s="160">
        <v>1600</v>
      </c>
      <c r="L37" s="159">
        <f t="shared" si="9"/>
        <v>-178</v>
      </c>
      <c r="M37" s="157">
        <v>178</v>
      </c>
    </row>
    <row r="38" spans="1:13" s="67" customFormat="1" ht="15.75" customHeight="1" x14ac:dyDescent="0.25">
      <c r="A38" s="48">
        <v>15</v>
      </c>
      <c r="B38" s="176" t="s">
        <v>1030</v>
      </c>
      <c r="C38" s="176" t="s">
        <v>1029</v>
      </c>
      <c r="D38" s="157">
        <v>0</v>
      </c>
      <c r="E38" s="157">
        <f>+'SMT KIT Rcvd '!D37</f>
        <v>5900</v>
      </c>
      <c r="F38" s="157">
        <f>+'Excise Dispatch '!D37</f>
        <v>5900</v>
      </c>
      <c r="G38" s="157">
        <f>+'PACK Prod'!D37</f>
        <v>5900</v>
      </c>
      <c r="H38" s="157">
        <f t="shared" si="6"/>
        <v>0</v>
      </c>
      <c r="I38" s="158">
        <f t="shared" si="7"/>
        <v>0</v>
      </c>
      <c r="J38" s="157">
        <f t="shared" si="8"/>
        <v>0</v>
      </c>
      <c r="K38" s="160">
        <v>5900</v>
      </c>
      <c r="L38" s="159">
        <f t="shared" si="9"/>
        <v>0</v>
      </c>
      <c r="M38" s="157">
        <v>0</v>
      </c>
    </row>
    <row r="39" spans="1:13" s="67" customFormat="1" ht="15.75" customHeight="1" x14ac:dyDescent="0.25">
      <c r="A39" s="48">
        <v>16</v>
      </c>
      <c r="B39" s="166" t="s">
        <v>236</v>
      </c>
      <c r="C39" s="166" t="s">
        <v>235</v>
      </c>
      <c r="D39" s="157">
        <v>10000</v>
      </c>
      <c r="E39" s="157">
        <f>+'SMT KIT Rcvd '!D38</f>
        <v>58000</v>
      </c>
      <c r="F39" s="157">
        <f>+'Excise Dispatch '!D38</f>
        <v>68000</v>
      </c>
      <c r="G39" s="157">
        <f>+'PACK Prod'!D38</f>
        <v>58004</v>
      </c>
      <c r="H39" s="157">
        <f t="shared" si="6"/>
        <v>0</v>
      </c>
      <c r="I39" s="158">
        <f t="shared" si="7"/>
        <v>0</v>
      </c>
      <c r="J39" s="157">
        <f t="shared" si="8"/>
        <v>0</v>
      </c>
      <c r="K39" s="160">
        <v>58000</v>
      </c>
      <c r="L39" s="159">
        <f t="shared" si="9"/>
        <v>-10000</v>
      </c>
      <c r="M39" s="157">
        <v>9996</v>
      </c>
    </row>
    <row r="40" spans="1:13" s="67" customFormat="1" ht="15.75" customHeight="1" x14ac:dyDescent="0.25">
      <c r="A40" s="48">
        <v>17</v>
      </c>
      <c r="B40" s="176" t="s">
        <v>1024</v>
      </c>
      <c r="C40" s="176" t="s">
        <v>1023</v>
      </c>
      <c r="D40" s="157">
        <v>0</v>
      </c>
      <c r="E40" s="157">
        <f>+'SMT KIT Rcvd '!D39</f>
        <v>100</v>
      </c>
      <c r="F40" s="157">
        <f>+'Excise Dispatch '!D39</f>
        <v>100</v>
      </c>
      <c r="G40" s="157">
        <f>+'PACK Prod'!D39</f>
        <v>100</v>
      </c>
      <c r="H40" s="157">
        <f t="shared" si="6"/>
        <v>0</v>
      </c>
      <c r="I40" s="158">
        <f t="shared" si="7"/>
        <v>0</v>
      </c>
      <c r="J40" s="157">
        <f t="shared" si="8"/>
        <v>0</v>
      </c>
      <c r="K40" s="160">
        <v>100</v>
      </c>
      <c r="L40" s="159">
        <f t="shared" si="9"/>
        <v>0</v>
      </c>
      <c r="M40" s="157">
        <v>0</v>
      </c>
    </row>
    <row r="41" spans="1:13" s="67" customFormat="1" ht="15.75" customHeight="1" x14ac:dyDescent="0.25">
      <c r="A41" s="48">
        <v>18</v>
      </c>
      <c r="B41" s="176" t="s">
        <v>1227</v>
      </c>
      <c r="C41" s="176" t="s">
        <v>1226</v>
      </c>
      <c r="D41" s="157">
        <v>3</v>
      </c>
      <c r="E41" s="157">
        <f>+'SMT KIT Rcvd '!D40</f>
        <v>0</v>
      </c>
      <c r="F41" s="157">
        <f>+'Excise Dispatch '!D40</f>
        <v>0</v>
      </c>
      <c r="G41" s="157">
        <f>+'PACK Prod'!D40</f>
        <v>0</v>
      </c>
      <c r="H41" s="157">
        <f t="shared" si="6"/>
        <v>3</v>
      </c>
      <c r="I41" s="158">
        <f t="shared" si="7"/>
        <v>3</v>
      </c>
      <c r="J41" s="157">
        <f t="shared" si="8"/>
        <v>0</v>
      </c>
      <c r="K41" s="160">
        <v>0</v>
      </c>
      <c r="L41" s="159">
        <f t="shared" si="9"/>
        <v>-3</v>
      </c>
      <c r="M41" s="157">
        <v>3</v>
      </c>
    </row>
    <row r="42" spans="1:13" s="67" customFormat="1" ht="15.75" customHeight="1" x14ac:dyDescent="0.25">
      <c r="A42" s="48">
        <v>19</v>
      </c>
      <c r="B42" s="176" t="s">
        <v>1032</v>
      </c>
      <c r="C42" s="176" t="s">
        <v>1031</v>
      </c>
      <c r="D42" s="157">
        <v>0</v>
      </c>
      <c r="E42" s="157">
        <f>+'SMT KIT Rcvd '!D41</f>
        <v>500</v>
      </c>
      <c r="F42" s="157">
        <f>+'Excise Dispatch '!D41</f>
        <v>500</v>
      </c>
      <c r="G42" s="157">
        <f>+'PACK Prod'!D41</f>
        <v>500</v>
      </c>
      <c r="H42" s="157">
        <f t="shared" si="6"/>
        <v>0</v>
      </c>
      <c r="I42" s="158">
        <f t="shared" si="7"/>
        <v>0</v>
      </c>
      <c r="J42" s="157">
        <f t="shared" si="8"/>
        <v>0</v>
      </c>
      <c r="K42" s="160">
        <v>500</v>
      </c>
      <c r="L42" s="159">
        <f t="shared" si="9"/>
        <v>0</v>
      </c>
      <c r="M42" s="157">
        <v>0</v>
      </c>
    </row>
    <row r="43" spans="1:13" s="67" customFormat="1" ht="15.75" customHeight="1" x14ac:dyDescent="0.25">
      <c r="A43" s="48">
        <v>20</v>
      </c>
      <c r="B43" s="166" t="s">
        <v>280</v>
      </c>
      <c r="C43" s="166" t="s">
        <v>279</v>
      </c>
      <c r="D43" s="157">
        <v>0</v>
      </c>
      <c r="E43" s="157">
        <f>+'SMT KIT Rcvd '!D42</f>
        <v>4000</v>
      </c>
      <c r="F43" s="157">
        <f>+'Excise Dispatch '!D42</f>
        <v>4000</v>
      </c>
      <c r="G43" s="157">
        <f>+'PACK Prod'!D42</f>
        <v>4000</v>
      </c>
      <c r="H43" s="157">
        <f t="shared" si="6"/>
        <v>0</v>
      </c>
      <c r="I43" s="158">
        <f t="shared" si="7"/>
        <v>0</v>
      </c>
      <c r="J43" s="157">
        <f t="shared" si="8"/>
        <v>0</v>
      </c>
      <c r="K43" s="160">
        <v>4000</v>
      </c>
      <c r="L43" s="159">
        <f t="shared" si="9"/>
        <v>0</v>
      </c>
      <c r="M43" s="157">
        <v>0</v>
      </c>
    </row>
    <row r="44" spans="1:13" s="67" customFormat="1" ht="15.75" customHeight="1" x14ac:dyDescent="0.25">
      <c r="A44" s="48">
        <v>21</v>
      </c>
      <c r="B44" s="166" t="s">
        <v>284</v>
      </c>
      <c r="C44" s="166" t="s">
        <v>283</v>
      </c>
      <c r="D44" s="157">
        <v>980</v>
      </c>
      <c r="E44" s="157">
        <f>+'SMT KIT Rcvd '!D43</f>
        <v>0</v>
      </c>
      <c r="F44" s="157">
        <f>+'Excise Dispatch '!D43</f>
        <v>0</v>
      </c>
      <c r="G44" s="157">
        <f>+'PACK Prod'!D43</f>
        <v>0</v>
      </c>
      <c r="H44" s="157">
        <f t="shared" si="6"/>
        <v>980</v>
      </c>
      <c r="I44" s="158">
        <f t="shared" si="7"/>
        <v>980</v>
      </c>
      <c r="J44" s="157">
        <f t="shared" si="8"/>
        <v>0</v>
      </c>
      <c r="K44" s="160">
        <v>0</v>
      </c>
      <c r="L44" s="159">
        <f t="shared" si="9"/>
        <v>-980</v>
      </c>
      <c r="M44" s="157">
        <v>980</v>
      </c>
    </row>
    <row r="45" spans="1:13" s="67" customFormat="1" ht="15.75" customHeight="1" x14ac:dyDescent="0.25">
      <c r="A45" s="48">
        <v>22</v>
      </c>
      <c r="B45" s="176" t="s">
        <v>1222</v>
      </c>
      <c r="C45" s="176" t="s">
        <v>1221</v>
      </c>
      <c r="D45" s="157">
        <v>0</v>
      </c>
      <c r="E45" s="157">
        <f>+'SMT KIT Rcvd '!D44</f>
        <v>25000</v>
      </c>
      <c r="F45" s="157">
        <f>+'Excise Dispatch '!D44</f>
        <v>25000</v>
      </c>
      <c r="G45" s="157">
        <f>+'PACK Prod'!D44</f>
        <v>25000</v>
      </c>
      <c r="H45" s="157">
        <f t="shared" si="6"/>
        <v>0</v>
      </c>
      <c r="I45" s="158">
        <f t="shared" si="7"/>
        <v>0</v>
      </c>
      <c r="J45" s="157">
        <f t="shared" si="8"/>
        <v>0</v>
      </c>
      <c r="K45" s="160">
        <v>25000</v>
      </c>
      <c r="L45" s="159">
        <f t="shared" si="9"/>
        <v>0</v>
      </c>
      <c r="M45" s="157">
        <v>0</v>
      </c>
    </row>
    <row r="46" spans="1:13" s="67" customFormat="1" ht="15.75" customHeight="1" x14ac:dyDescent="0.25">
      <c r="A46" s="48">
        <v>23</v>
      </c>
      <c r="B46" s="166" t="s">
        <v>320</v>
      </c>
      <c r="C46" s="166" t="s">
        <v>319</v>
      </c>
      <c r="D46" s="157">
        <v>0</v>
      </c>
      <c r="E46" s="157">
        <f>+'SMT KIT Rcvd '!D45</f>
        <v>37000</v>
      </c>
      <c r="F46" s="157">
        <f>+'Excise Dispatch '!D45</f>
        <v>37000</v>
      </c>
      <c r="G46" s="157">
        <f>+'PACK Prod'!D45</f>
        <v>37000</v>
      </c>
      <c r="H46" s="157">
        <f t="shared" si="6"/>
        <v>0</v>
      </c>
      <c r="I46" s="158">
        <f t="shared" si="7"/>
        <v>0</v>
      </c>
      <c r="J46" s="157">
        <f t="shared" si="8"/>
        <v>0</v>
      </c>
      <c r="K46" s="160">
        <v>37000</v>
      </c>
      <c r="L46" s="159">
        <f t="shared" si="9"/>
        <v>0</v>
      </c>
      <c r="M46" s="157">
        <v>0</v>
      </c>
    </row>
    <row r="47" spans="1:13" s="67" customFormat="1" ht="15.75" customHeight="1" x14ac:dyDescent="0.25">
      <c r="A47" s="48">
        <v>24</v>
      </c>
      <c r="B47" s="166" t="s">
        <v>289</v>
      </c>
      <c r="C47" s="166" t="s">
        <v>288</v>
      </c>
      <c r="D47" s="157">
        <v>1120</v>
      </c>
      <c r="E47" s="157">
        <f>+'SMT KIT Rcvd '!D46</f>
        <v>0</v>
      </c>
      <c r="F47" s="157">
        <f>+'Excise Dispatch '!D46</f>
        <v>0</v>
      </c>
      <c r="G47" s="157">
        <f>+'PACK Prod'!D46</f>
        <v>0</v>
      </c>
      <c r="H47" s="157">
        <f t="shared" si="6"/>
        <v>1120</v>
      </c>
      <c r="I47" s="158">
        <f t="shared" si="7"/>
        <v>1120</v>
      </c>
      <c r="J47" s="157">
        <f t="shared" si="8"/>
        <v>0</v>
      </c>
      <c r="K47" s="160">
        <v>0</v>
      </c>
      <c r="L47" s="159">
        <f t="shared" si="9"/>
        <v>-1120</v>
      </c>
      <c r="M47" s="157">
        <v>1120</v>
      </c>
    </row>
    <row r="48" spans="1:13" s="67" customFormat="1" ht="15.75" customHeight="1" x14ac:dyDescent="0.25">
      <c r="A48" s="48">
        <v>25</v>
      </c>
      <c r="B48" s="166" t="s">
        <v>256</v>
      </c>
      <c r="C48" s="166" t="s">
        <v>255</v>
      </c>
      <c r="D48" s="157">
        <v>0</v>
      </c>
      <c r="E48" s="157">
        <f>+'SMT KIT Rcvd '!D47</f>
        <v>25000</v>
      </c>
      <c r="F48" s="157">
        <f>+'Excise Dispatch '!D47</f>
        <v>24000</v>
      </c>
      <c r="G48" s="157">
        <f>+'PACK Prod'!D47</f>
        <v>25000</v>
      </c>
      <c r="H48" s="157">
        <f t="shared" si="6"/>
        <v>1000</v>
      </c>
      <c r="I48" s="158">
        <f t="shared" si="7"/>
        <v>1000</v>
      </c>
      <c r="J48" s="157">
        <f t="shared" si="8"/>
        <v>0</v>
      </c>
      <c r="K48" s="160">
        <v>25000</v>
      </c>
      <c r="L48" s="159">
        <f t="shared" si="9"/>
        <v>0</v>
      </c>
      <c r="M48" s="157">
        <v>0</v>
      </c>
    </row>
    <row r="49" spans="1:13" s="67" customFormat="1" ht="15.75" customHeight="1" x14ac:dyDescent="0.25">
      <c r="A49" s="48">
        <v>26</v>
      </c>
      <c r="B49" s="176" t="s">
        <v>1086</v>
      </c>
      <c r="C49" s="176" t="s">
        <v>1085</v>
      </c>
      <c r="D49" s="157">
        <v>0</v>
      </c>
      <c r="E49" s="157">
        <f>+'SMT KIT Rcvd '!D48</f>
        <v>5000</v>
      </c>
      <c r="F49" s="157">
        <f>+'Excise Dispatch '!D48</f>
        <v>5000</v>
      </c>
      <c r="G49" s="157">
        <f>+'PACK Prod'!D48</f>
        <v>5000</v>
      </c>
      <c r="H49" s="157">
        <f t="shared" si="6"/>
        <v>0</v>
      </c>
      <c r="I49" s="158">
        <f t="shared" si="7"/>
        <v>0</v>
      </c>
      <c r="J49" s="157">
        <f t="shared" si="8"/>
        <v>0</v>
      </c>
      <c r="K49" s="160">
        <v>5000</v>
      </c>
      <c r="L49" s="159">
        <f t="shared" si="9"/>
        <v>0</v>
      </c>
      <c r="M49" s="157">
        <v>0</v>
      </c>
    </row>
    <row r="50" spans="1:13" s="67" customFormat="1" ht="15.75" customHeight="1" x14ac:dyDescent="0.25">
      <c r="A50" s="48">
        <v>27</v>
      </c>
      <c r="B50" s="176" t="s">
        <v>1088</v>
      </c>
      <c r="C50" s="176" t="s">
        <v>1087</v>
      </c>
      <c r="D50" s="157">
        <v>0</v>
      </c>
      <c r="E50" s="157">
        <f>+'SMT KIT Rcvd '!D49</f>
        <v>4100</v>
      </c>
      <c r="F50" s="157">
        <f>+'Excise Dispatch '!D49</f>
        <v>4056</v>
      </c>
      <c r="G50" s="157">
        <f>+'PACK Prod'!D49</f>
        <v>4100</v>
      </c>
      <c r="H50" s="157">
        <f t="shared" si="6"/>
        <v>44</v>
      </c>
      <c r="I50" s="158">
        <f t="shared" si="7"/>
        <v>44</v>
      </c>
      <c r="J50" s="157">
        <f t="shared" si="8"/>
        <v>0</v>
      </c>
      <c r="K50" s="160">
        <v>4100</v>
      </c>
      <c r="L50" s="159">
        <f t="shared" si="9"/>
        <v>0</v>
      </c>
      <c r="M50" s="157">
        <v>0</v>
      </c>
    </row>
    <row r="51" spans="1:13" s="67" customFormat="1" ht="15.75" customHeight="1" x14ac:dyDescent="0.25">
      <c r="A51" s="48">
        <v>28</v>
      </c>
      <c r="B51" s="166" t="s">
        <v>310</v>
      </c>
      <c r="C51" s="166" t="s">
        <v>309</v>
      </c>
      <c r="D51" s="157">
        <v>0</v>
      </c>
      <c r="E51" s="157">
        <f>+'SMT KIT Rcvd '!D50</f>
        <v>550</v>
      </c>
      <c r="F51" s="157">
        <f>+'Excise Dispatch '!D50</f>
        <v>550</v>
      </c>
      <c r="G51" s="157">
        <f>+'PACK Prod'!D50</f>
        <v>550</v>
      </c>
      <c r="H51" s="157">
        <f t="shared" si="6"/>
        <v>0</v>
      </c>
      <c r="I51" s="158">
        <f t="shared" si="7"/>
        <v>0</v>
      </c>
      <c r="J51" s="157">
        <f t="shared" si="8"/>
        <v>0</v>
      </c>
      <c r="K51" s="160">
        <v>550</v>
      </c>
      <c r="L51" s="159">
        <f t="shared" si="9"/>
        <v>0</v>
      </c>
      <c r="M51" s="157">
        <v>0</v>
      </c>
    </row>
    <row r="52" spans="1:13" s="67" customFormat="1" ht="15.75" customHeight="1" x14ac:dyDescent="0.25">
      <c r="A52" s="48">
        <v>29</v>
      </c>
      <c r="B52" s="166" t="s">
        <v>258</v>
      </c>
      <c r="C52" s="166" t="s">
        <v>257</v>
      </c>
      <c r="D52" s="157">
        <v>0</v>
      </c>
      <c r="E52" s="157">
        <f>+'SMT KIT Rcvd '!D51</f>
        <v>13500</v>
      </c>
      <c r="F52" s="157">
        <f>+'Excise Dispatch '!D51</f>
        <v>13500</v>
      </c>
      <c r="G52" s="157">
        <f>+'PACK Prod'!D51</f>
        <v>13500</v>
      </c>
      <c r="H52" s="157">
        <f t="shared" si="6"/>
        <v>0</v>
      </c>
      <c r="I52" s="158">
        <f t="shared" si="7"/>
        <v>0</v>
      </c>
      <c r="J52" s="157">
        <f t="shared" si="8"/>
        <v>0</v>
      </c>
      <c r="K52" s="160">
        <v>13500</v>
      </c>
      <c r="L52" s="159">
        <f t="shared" si="9"/>
        <v>0</v>
      </c>
      <c r="M52" s="157">
        <v>0</v>
      </c>
    </row>
    <row r="53" spans="1:13" s="67" customFormat="1" ht="15.75" customHeight="1" x14ac:dyDescent="0.25">
      <c r="A53" s="48">
        <v>30</v>
      </c>
      <c r="B53" s="166" t="s">
        <v>287</v>
      </c>
      <c r="C53" s="166" t="s">
        <v>296</v>
      </c>
      <c r="D53" s="157">
        <v>0</v>
      </c>
      <c r="E53" s="157">
        <f>+'SMT KIT Rcvd '!D52</f>
        <v>19700</v>
      </c>
      <c r="F53" s="157">
        <f>+'Excise Dispatch '!D52</f>
        <v>19700</v>
      </c>
      <c r="G53" s="157">
        <f>+'PACK Prod'!D52</f>
        <v>19700</v>
      </c>
      <c r="H53" s="157">
        <f t="shared" si="6"/>
        <v>0</v>
      </c>
      <c r="I53" s="158">
        <f t="shared" si="7"/>
        <v>0</v>
      </c>
      <c r="J53" s="157">
        <f t="shared" si="8"/>
        <v>0</v>
      </c>
      <c r="K53" s="160">
        <v>19700</v>
      </c>
      <c r="L53" s="159">
        <f t="shared" si="9"/>
        <v>0</v>
      </c>
      <c r="M53" s="157">
        <v>0</v>
      </c>
    </row>
    <row r="54" spans="1:13" s="67" customFormat="1" ht="15.75" customHeight="1" x14ac:dyDescent="0.25">
      <c r="A54" s="48">
        <v>31</v>
      </c>
      <c r="B54" s="176" t="s">
        <v>1124</v>
      </c>
      <c r="C54" s="176" t="s">
        <v>1123</v>
      </c>
      <c r="D54" s="157">
        <v>0</v>
      </c>
      <c r="E54" s="157">
        <f>+'SMT KIT Rcvd '!D53</f>
        <v>500</v>
      </c>
      <c r="F54" s="157">
        <f>+'Excise Dispatch '!D53</f>
        <v>500</v>
      </c>
      <c r="G54" s="157">
        <f>+'PACK Prod'!D53</f>
        <v>500</v>
      </c>
      <c r="H54" s="157">
        <f t="shared" si="6"/>
        <v>0</v>
      </c>
      <c r="I54" s="158">
        <f t="shared" si="7"/>
        <v>0</v>
      </c>
      <c r="J54" s="157">
        <f t="shared" si="8"/>
        <v>0</v>
      </c>
      <c r="K54" s="160">
        <v>500</v>
      </c>
      <c r="L54" s="159">
        <f t="shared" si="9"/>
        <v>0</v>
      </c>
      <c r="M54" s="157">
        <v>0</v>
      </c>
    </row>
    <row r="55" spans="1:13" s="153" customFormat="1" ht="14.25" customHeight="1" x14ac:dyDescent="0.2">
      <c r="A55" s="151" t="s">
        <v>140</v>
      </c>
      <c r="B55" s="154" t="s">
        <v>122</v>
      </c>
      <c r="C55" s="162" t="s">
        <v>141</v>
      </c>
      <c r="D55" s="164">
        <f t="shared" ref="D55:M55" si="10">SUM(D56:D101)</f>
        <v>39791</v>
      </c>
      <c r="E55" s="164">
        <f t="shared" si="10"/>
        <v>1909698</v>
      </c>
      <c r="F55" s="164">
        <f t="shared" si="10"/>
        <v>1940692</v>
      </c>
      <c r="G55" s="164">
        <f t="shared" si="10"/>
        <v>1910504</v>
      </c>
      <c r="H55" s="164">
        <f t="shared" si="10"/>
        <v>8797</v>
      </c>
      <c r="I55" s="164">
        <f t="shared" si="10"/>
        <v>8797</v>
      </c>
      <c r="J55" s="164">
        <f t="shared" si="10"/>
        <v>0</v>
      </c>
      <c r="K55" s="164">
        <f t="shared" si="10"/>
        <v>1909698</v>
      </c>
      <c r="L55" s="164">
        <f t="shared" si="10"/>
        <v>-39791</v>
      </c>
      <c r="M55" s="164">
        <f t="shared" si="10"/>
        <v>38985</v>
      </c>
    </row>
    <row r="56" spans="1:13" s="67" customFormat="1" ht="15.75" customHeight="1" x14ac:dyDescent="0.2">
      <c r="A56" s="48">
        <v>1</v>
      </c>
      <c r="B56" s="176" t="s">
        <v>1059</v>
      </c>
      <c r="C56" s="176" t="s">
        <v>1057</v>
      </c>
      <c r="D56" s="157">
        <v>0</v>
      </c>
      <c r="E56" s="157">
        <f>+'SMT KIT Rcvd '!D55</f>
        <v>34000</v>
      </c>
      <c r="F56" s="157">
        <f>'Excise Dispatch '!D55</f>
        <v>34000</v>
      </c>
      <c r="G56" s="157">
        <f>+'PACK Prod'!D55</f>
        <v>34000</v>
      </c>
      <c r="H56" s="157">
        <f t="shared" ref="H56:H101" si="11">D56+E56-F56</f>
        <v>0</v>
      </c>
      <c r="I56" s="158">
        <f t="shared" ref="I56:I101" si="12">G56+M56-F56</f>
        <v>0</v>
      </c>
      <c r="J56" s="157">
        <f t="shared" ref="J56:J101" si="13">+H56-I56</f>
        <v>0</v>
      </c>
      <c r="K56" s="157">
        <v>34000</v>
      </c>
      <c r="L56" s="159">
        <f t="shared" ref="L56:L101" si="14">K56-D56-E56</f>
        <v>0</v>
      </c>
      <c r="M56" s="157">
        <v>0</v>
      </c>
    </row>
    <row r="57" spans="1:13" s="67" customFormat="1" ht="15.75" customHeight="1" x14ac:dyDescent="0.2">
      <c r="A57" s="48">
        <v>2</v>
      </c>
      <c r="B57" s="176" t="s">
        <v>1060</v>
      </c>
      <c r="C57" s="176" t="s">
        <v>1058</v>
      </c>
      <c r="D57" s="157">
        <v>0</v>
      </c>
      <c r="E57" s="157">
        <f>+'SMT KIT Rcvd '!D56</f>
        <v>5000</v>
      </c>
      <c r="F57" s="157">
        <f>'Excise Dispatch '!D56</f>
        <v>5000</v>
      </c>
      <c r="G57" s="157">
        <f>+'PACK Prod'!D56</f>
        <v>5000</v>
      </c>
      <c r="H57" s="157">
        <f t="shared" si="11"/>
        <v>0</v>
      </c>
      <c r="I57" s="158">
        <f t="shared" si="12"/>
        <v>0</v>
      </c>
      <c r="J57" s="157">
        <f t="shared" si="13"/>
        <v>0</v>
      </c>
      <c r="K57" s="157">
        <v>5000</v>
      </c>
      <c r="L57" s="159">
        <f t="shared" si="14"/>
        <v>0</v>
      </c>
      <c r="M57" s="157">
        <v>0</v>
      </c>
    </row>
    <row r="58" spans="1:13" s="67" customFormat="1" ht="15.75" customHeight="1" x14ac:dyDescent="0.2">
      <c r="A58" s="48">
        <v>3</v>
      </c>
      <c r="B58" s="176" t="s">
        <v>857</v>
      </c>
      <c r="C58" s="176" t="s">
        <v>856</v>
      </c>
      <c r="D58" s="157">
        <v>0</v>
      </c>
      <c r="E58" s="157">
        <f>+'SMT KIT Rcvd '!D57</f>
        <v>0</v>
      </c>
      <c r="F58" s="157">
        <f>'Excise Dispatch '!D57</f>
        <v>0</v>
      </c>
      <c r="G58" s="157">
        <f>+'PACK Prod'!D57</f>
        <v>0</v>
      </c>
      <c r="H58" s="157">
        <f t="shared" si="11"/>
        <v>0</v>
      </c>
      <c r="I58" s="158">
        <f t="shared" si="12"/>
        <v>0</v>
      </c>
      <c r="J58" s="157">
        <f t="shared" si="13"/>
        <v>0</v>
      </c>
      <c r="K58" s="157">
        <v>0</v>
      </c>
      <c r="L58" s="159">
        <f t="shared" si="14"/>
        <v>0</v>
      </c>
      <c r="M58" s="157">
        <v>0</v>
      </c>
    </row>
    <row r="59" spans="1:13" s="67" customFormat="1" ht="15.75" customHeight="1" x14ac:dyDescent="0.2">
      <c r="A59" s="48">
        <v>4</v>
      </c>
      <c r="B59" s="166" t="s">
        <v>179</v>
      </c>
      <c r="C59" s="166" t="s">
        <v>178</v>
      </c>
      <c r="D59" s="157"/>
      <c r="E59" s="157">
        <f>+'SMT KIT Rcvd '!D58</f>
        <v>215000</v>
      </c>
      <c r="F59" s="157">
        <f>'Excise Dispatch '!D58</f>
        <v>215000</v>
      </c>
      <c r="G59" s="157">
        <f>+'PACK Prod'!D58</f>
        <v>215000</v>
      </c>
      <c r="H59" s="157">
        <f t="shared" si="11"/>
        <v>0</v>
      </c>
      <c r="I59" s="158">
        <f t="shared" si="12"/>
        <v>0</v>
      </c>
      <c r="J59" s="157">
        <f t="shared" si="13"/>
        <v>0</v>
      </c>
      <c r="K59" s="157">
        <v>215000</v>
      </c>
      <c r="L59" s="159">
        <f t="shared" si="14"/>
        <v>0</v>
      </c>
      <c r="M59" s="157">
        <v>0</v>
      </c>
    </row>
    <row r="60" spans="1:13" s="67" customFormat="1" ht="15.75" customHeight="1" x14ac:dyDescent="0.2">
      <c r="A60" s="48">
        <v>5</v>
      </c>
      <c r="B60" s="156" t="s">
        <v>774</v>
      </c>
      <c r="C60" s="156" t="s">
        <v>773</v>
      </c>
      <c r="D60" s="157">
        <v>0</v>
      </c>
      <c r="E60" s="157">
        <f>+'SMT KIT Rcvd '!D59</f>
        <v>6500</v>
      </c>
      <c r="F60" s="157">
        <f>'Excise Dispatch '!D59</f>
        <v>6500</v>
      </c>
      <c r="G60" s="157">
        <f>+'PACK Prod'!D59</f>
        <v>6500</v>
      </c>
      <c r="H60" s="157">
        <f t="shared" si="11"/>
        <v>0</v>
      </c>
      <c r="I60" s="158">
        <f t="shared" si="12"/>
        <v>0</v>
      </c>
      <c r="J60" s="157">
        <f t="shared" si="13"/>
        <v>0</v>
      </c>
      <c r="K60" s="157">
        <v>6500</v>
      </c>
      <c r="L60" s="159">
        <f t="shared" si="14"/>
        <v>0</v>
      </c>
      <c r="M60" s="157">
        <v>0</v>
      </c>
    </row>
    <row r="61" spans="1:13" s="67" customFormat="1" ht="15.75" customHeight="1" x14ac:dyDescent="0.2">
      <c r="A61" s="48">
        <v>6</v>
      </c>
      <c r="B61" s="176" t="s">
        <v>879</v>
      </c>
      <c r="C61" s="176" t="s">
        <v>878</v>
      </c>
      <c r="D61" s="157">
        <v>0</v>
      </c>
      <c r="E61" s="157">
        <f>+'SMT KIT Rcvd '!D60</f>
        <v>13000</v>
      </c>
      <c r="F61" s="157">
        <f>'Excise Dispatch '!D60</f>
        <v>13000</v>
      </c>
      <c r="G61" s="157">
        <f>+'PACK Prod'!D60</f>
        <v>13000</v>
      </c>
      <c r="H61" s="157">
        <f t="shared" si="11"/>
        <v>0</v>
      </c>
      <c r="I61" s="158">
        <f t="shared" si="12"/>
        <v>0</v>
      </c>
      <c r="J61" s="157">
        <f t="shared" si="13"/>
        <v>0</v>
      </c>
      <c r="K61" s="157">
        <v>13000</v>
      </c>
      <c r="L61" s="159">
        <f t="shared" si="14"/>
        <v>0</v>
      </c>
      <c r="M61" s="157">
        <v>0</v>
      </c>
    </row>
    <row r="62" spans="1:13" s="67" customFormat="1" ht="15.75" customHeight="1" x14ac:dyDescent="0.2">
      <c r="A62" s="48">
        <v>7</v>
      </c>
      <c r="B62" s="166" t="s">
        <v>471</v>
      </c>
      <c r="C62" s="166" t="s">
        <v>470</v>
      </c>
      <c r="D62" s="157">
        <v>30</v>
      </c>
      <c r="E62" s="157">
        <f>+'SMT KIT Rcvd '!D61</f>
        <v>0</v>
      </c>
      <c r="F62" s="157">
        <f>'Excise Dispatch '!D61</f>
        <v>30</v>
      </c>
      <c r="G62" s="157">
        <f>+'PACK Prod'!D61</f>
        <v>0</v>
      </c>
      <c r="H62" s="157">
        <f t="shared" si="11"/>
        <v>0</v>
      </c>
      <c r="I62" s="158">
        <f t="shared" si="12"/>
        <v>0</v>
      </c>
      <c r="J62" s="157">
        <f t="shared" si="13"/>
        <v>0</v>
      </c>
      <c r="K62" s="157">
        <v>0</v>
      </c>
      <c r="L62" s="159">
        <f t="shared" si="14"/>
        <v>-30</v>
      </c>
      <c r="M62" s="157">
        <v>30</v>
      </c>
    </row>
    <row r="63" spans="1:13" s="67" customFormat="1" ht="15.75" customHeight="1" x14ac:dyDescent="0.2">
      <c r="A63" s="48">
        <v>8</v>
      </c>
      <c r="B63" s="176" t="s">
        <v>1096</v>
      </c>
      <c r="C63" s="176" t="s">
        <v>1095</v>
      </c>
      <c r="D63" s="157">
        <v>0</v>
      </c>
      <c r="E63" s="157">
        <f>+'SMT KIT Rcvd '!D62</f>
        <v>4000</v>
      </c>
      <c r="F63" s="157">
        <f>'Excise Dispatch '!D62</f>
        <v>4000</v>
      </c>
      <c r="G63" s="157">
        <f>+'PACK Prod'!D62</f>
        <v>4000</v>
      </c>
      <c r="H63" s="157">
        <f t="shared" si="11"/>
        <v>0</v>
      </c>
      <c r="I63" s="158">
        <f t="shared" si="12"/>
        <v>0</v>
      </c>
      <c r="J63" s="157">
        <f t="shared" si="13"/>
        <v>0</v>
      </c>
      <c r="K63" s="157">
        <v>4000</v>
      </c>
      <c r="L63" s="159">
        <f t="shared" si="14"/>
        <v>0</v>
      </c>
      <c r="M63" s="157">
        <v>0</v>
      </c>
    </row>
    <row r="64" spans="1:13" s="67" customFormat="1" ht="15.75" customHeight="1" x14ac:dyDescent="0.2">
      <c r="A64" s="48">
        <v>9</v>
      </c>
      <c r="B64" s="166" t="s">
        <v>332</v>
      </c>
      <c r="C64" s="166" t="s">
        <v>331</v>
      </c>
      <c r="D64" s="157">
        <v>29106</v>
      </c>
      <c r="E64" s="157">
        <f>+'SMT KIT Rcvd '!D63</f>
        <v>1052800</v>
      </c>
      <c r="F64" s="157">
        <f>'Excise Dispatch '!D63</f>
        <v>1081906</v>
      </c>
      <c r="G64" s="157">
        <f>+'PACK Prod'!D63</f>
        <v>1053496</v>
      </c>
      <c r="H64" s="157">
        <f t="shared" si="11"/>
        <v>0</v>
      </c>
      <c r="I64" s="158">
        <f t="shared" si="12"/>
        <v>0</v>
      </c>
      <c r="J64" s="157">
        <f t="shared" si="13"/>
        <v>0</v>
      </c>
      <c r="K64" s="157">
        <v>1052800</v>
      </c>
      <c r="L64" s="159">
        <f t="shared" si="14"/>
        <v>-29106</v>
      </c>
      <c r="M64" s="157">
        <f>29106-696</f>
        <v>28410</v>
      </c>
    </row>
    <row r="65" spans="1:13" s="67" customFormat="1" ht="15.75" customHeight="1" x14ac:dyDescent="0.2">
      <c r="A65" s="48">
        <v>10</v>
      </c>
      <c r="B65" s="166" t="s">
        <v>201</v>
      </c>
      <c r="C65" s="166" t="s">
        <v>200</v>
      </c>
      <c r="D65" s="157">
        <v>0</v>
      </c>
      <c r="E65" s="157">
        <f>+'SMT KIT Rcvd '!D64</f>
        <v>5000</v>
      </c>
      <c r="F65" s="157">
        <f>'Excise Dispatch '!D64</f>
        <v>5000</v>
      </c>
      <c r="G65" s="157">
        <f>+'PACK Prod'!D64</f>
        <v>5000</v>
      </c>
      <c r="H65" s="157">
        <f t="shared" si="11"/>
        <v>0</v>
      </c>
      <c r="I65" s="158">
        <f t="shared" si="12"/>
        <v>0</v>
      </c>
      <c r="J65" s="157">
        <f t="shared" si="13"/>
        <v>0</v>
      </c>
      <c r="K65" s="157">
        <v>5000</v>
      </c>
      <c r="L65" s="159">
        <f t="shared" si="14"/>
        <v>0</v>
      </c>
      <c r="M65" s="157">
        <v>0</v>
      </c>
    </row>
    <row r="66" spans="1:13" s="67" customFormat="1" ht="15.75" customHeight="1" x14ac:dyDescent="0.2">
      <c r="A66" s="48">
        <v>11</v>
      </c>
      <c r="B66" s="166" t="s">
        <v>613</v>
      </c>
      <c r="C66" s="166" t="s">
        <v>611</v>
      </c>
      <c r="D66" s="157">
        <v>0</v>
      </c>
      <c r="E66" s="157">
        <f>+'SMT KIT Rcvd '!D65</f>
        <v>4500</v>
      </c>
      <c r="F66" s="157">
        <f>'Excise Dispatch '!D65</f>
        <v>4500</v>
      </c>
      <c r="G66" s="157">
        <f>+'PACK Prod'!D65</f>
        <v>4500</v>
      </c>
      <c r="H66" s="157">
        <f t="shared" si="11"/>
        <v>0</v>
      </c>
      <c r="I66" s="158">
        <f t="shared" si="12"/>
        <v>0</v>
      </c>
      <c r="J66" s="157">
        <f t="shared" si="13"/>
        <v>0</v>
      </c>
      <c r="K66" s="157">
        <v>4500</v>
      </c>
      <c r="L66" s="159">
        <f t="shared" si="14"/>
        <v>0</v>
      </c>
      <c r="M66" s="157">
        <v>0</v>
      </c>
    </row>
    <row r="67" spans="1:13" s="67" customFormat="1" ht="15.75" customHeight="1" x14ac:dyDescent="0.2">
      <c r="A67" s="48">
        <v>12</v>
      </c>
      <c r="B67" s="166" t="s">
        <v>614</v>
      </c>
      <c r="C67" s="166" t="s">
        <v>612</v>
      </c>
      <c r="D67" s="157">
        <v>0</v>
      </c>
      <c r="E67" s="157">
        <f>+'SMT KIT Rcvd '!D66</f>
        <v>3419</v>
      </c>
      <c r="F67" s="157">
        <f>'Excise Dispatch '!D66</f>
        <v>3419</v>
      </c>
      <c r="G67" s="157">
        <f>+'PACK Prod'!D66</f>
        <v>3419</v>
      </c>
      <c r="H67" s="157">
        <f t="shared" si="11"/>
        <v>0</v>
      </c>
      <c r="I67" s="158">
        <f t="shared" si="12"/>
        <v>0</v>
      </c>
      <c r="J67" s="157">
        <f t="shared" si="13"/>
        <v>0</v>
      </c>
      <c r="K67" s="157">
        <v>3419</v>
      </c>
      <c r="L67" s="159">
        <f t="shared" si="14"/>
        <v>0</v>
      </c>
      <c r="M67" s="157">
        <v>0</v>
      </c>
    </row>
    <row r="68" spans="1:13" s="67" customFormat="1" ht="15.75" customHeight="1" x14ac:dyDescent="0.2">
      <c r="A68" s="48">
        <v>13</v>
      </c>
      <c r="B68" s="166" t="s">
        <v>429</v>
      </c>
      <c r="C68" s="166" t="s">
        <v>428</v>
      </c>
      <c r="D68" s="157">
        <v>0</v>
      </c>
      <c r="E68" s="157">
        <f>+'SMT KIT Rcvd '!D67</f>
        <v>185000</v>
      </c>
      <c r="F68" s="157">
        <f>'Excise Dispatch '!D67</f>
        <v>176203</v>
      </c>
      <c r="G68" s="157">
        <f>+'PACK Prod'!D67</f>
        <v>184950</v>
      </c>
      <c r="H68" s="157">
        <f t="shared" si="11"/>
        <v>8797</v>
      </c>
      <c r="I68" s="158">
        <f t="shared" si="12"/>
        <v>8797</v>
      </c>
      <c r="J68" s="157">
        <f t="shared" si="13"/>
        <v>0</v>
      </c>
      <c r="K68" s="157">
        <v>185000</v>
      </c>
      <c r="L68" s="159">
        <f t="shared" si="14"/>
        <v>0</v>
      </c>
      <c r="M68" s="157">
        <v>50</v>
      </c>
    </row>
    <row r="69" spans="1:13" s="67" customFormat="1" ht="15.75" customHeight="1" x14ac:dyDescent="0.2">
      <c r="A69" s="48">
        <v>14</v>
      </c>
      <c r="B69" s="166" t="s">
        <v>994</v>
      </c>
      <c r="C69" s="166" t="s">
        <v>993</v>
      </c>
      <c r="D69" s="157">
        <v>0</v>
      </c>
      <c r="E69" s="157">
        <f>+'SMT KIT Rcvd '!D68</f>
        <v>6000</v>
      </c>
      <c r="F69" s="157">
        <f>'Excise Dispatch '!D68</f>
        <v>6000</v>
      </c>
      <c r="G69" s="157">
        <f>+'PACK Prod'!D68</f>
        <v>6000</v>
      </c>
      <c r="H69" s="157">
        <f t="shared" si="11"/>
        <v>0</v>
      </c>
      <c r="I69" s="158">
        <f t="shared" si="12"/>
        <v>0</v>
      </c>
      <c r="J69" s="157">
        <f t="shared" si="13"/>
        <v>0</v>
      </c>
      <c r="K69" s="157">
        <v>6000</v>
      </c>
      <c r="L69" s="159">
        <f t="shared" si="14"/>
        <v>0</v>
      </c>
      <c r="M69" s="157">
        <v>0</v>
      </c>
    </row>
    <row r="70" spans="1:13" s="67" customFormat="1" ht="15.75" customHeight="1" x14ac:dyDescent="0.2">
      <c r="A70" s="48">
        <v>15</v>
      </c>
      <c r="B70" s="166" t="s">
        <v>831</v>
      </c>
      <c r="C70" s="166" t="s">
        <v>829</v>
      </c>
      <c r="D70" s="157">
        <v>0</v>
      </c>
      <c r="E70" s="157">
        <f>+'SMT KIT Rcvd '!D69</f>
        <v>4000</v>
      </c>
      <c r="F70" s="157">
        <f>'Excise Dispatch '!D69</f>
        <v>4000</v>
      </c>
      <c r="G70" s="157">
        <f>+'PACK Prod'!D69</f>
        <v>4000</v>
      </c>
      <c r="H70" s="157">
        <f t="shared" si="11"/>
        <v>0</v>
      </c>
      <c r="I70" s="158">
        <f t="shared" si="12"/>
        <v>0</v>
      </c>
      <c r="J70" s="157">
        <f t="shared" si="13"/>
        <v>0</v>
      </c>
      <c r="K70" s="157">
        <v>4000</v>
      </c>
      <c r="L70" s="159">
        <f t="shared" si="14"/>
        <v>0</v>
      </c>
      <c r="M70" s="157">
        <v>0</v>
      </c>
    </row>
    <row r="71" spans="1:13" s="67" customFormat="1" ht="15.75" customHeight="1" x14ac:dyDescent="0.2">
      <c r="A71" s="48">
        <v>16</v>
      </c>
      <c r="B71" s="166" t="s">
        <v>832</v>
      </c>
      <c r="C71" s="166" t="s">
        <v>830</v>
      </c>
      <c r="D71" s="157">
        <v>0</v>
      </c>
      <c r="E71" s="157">
        <f>+'SMT KIT Rcvd '!D70</f>
        <v>1000</v>
      </c>
      <c r="F71" s="157">
        <f>'Excise Dispatch '!D70</f>
        <v>1000</v>
      </c>
      <c r="G71" s="157">
        <f>+'PACK Prod'!D70</f>
        <v>1000</v>
      </c>
      <c r="H71" s="157">
        <f t="shared" si="11"/>
        <v>0</v>
      </c>
      <c r="I71" s="158">
        <f t="shared" si="12"/>
        <v>0</v>
      </c>
      <c r="J71" s="157">
        <f t="shared" si="13"/>
        <v>0</v>
      </c>
      <c r="K71" s="157">
        <v>1000</v>
      </c>
      <c r="L71" s="159">
        <f t="shared" si="14"/>
        <v>0</v>
      </c>
      <c r="M71" s="157">
        <v>0</v>
      </c>
    </row>
    <row r="72" spans="1:13" s="67" customFormat="1" ht="15.75" customHeight="1" x14ac:dyDescent="0.2">
      <c r="A72" s="48">
        <v>17</v>
      </c>
      <c r="B72" s="166" t="s">
        <v>522</v>
      </c>
      <c r="C72" s="166" t="s">
        <v>521</v>
      </c>
      <c r="D72" s="157">
        <v>0</v>
      </c>
      <c r="E72" s="157">
        <f>+'SMT KIT Rcvd '!D71</f>
        <v>1400</v>
      </c>
      <c r="F72" s="157">
        <f>'Excise Dispatch '!D71</f>
        <v>1400</v>
      </c>
      <c r="G72" s="157">
        <f>+'PACK Prod'!D71</f>
        <v>1400</v>
      </c>
      <c r="H72" s="157">
        <f t="shared" si="11"/>
        <v>0</v>
      </c>
      <c r="I72" s="158">
        <f t="shared" si="12"/>
        <v>0</v>
      </c>
      <c r="J72" s="157">
        <f t="shared" si="13"/>
        <v>0</v>
      </c>
      <c r="K72" s="157">
        <v>1400</v>
      </c>
      <c r="L72" s="159">
        <f t="shared" si="14"/>
        <v>0</v>
      </c>
      <c r="M72" s="157">
        <v>0</v>
      </c>
    </row>
    <row r="73" spans="1:13" s="67" customFormat="1" ht="15.75" customHeight="1" x14ac:dyDescent="0.2">
      <c r="A73" s="48">
        <v>18</v>
      </c>
      <c r="B73" s="166" t="s">
        <v>524</v>
      </c>
      <c r="C73" s="166" t="s">
        <v>523</v>
      </c>
      <c r="D73" s="157">
        <v>0</v>
      </c>
      <c r="E73" s="157">
        <f>+'SMT KIT Rcvd '!D72</f>
        <v>10000</v>
      </c>
      <c r="F73" s="157">
        <f>'Excise Dispatch '!D72</f>
        <v>10000</v>
      </c>
      <c r="G73" s="157">
        <f>+'PACK Prod'!D72</f>
        <v>10000</v>
      </c>
      <c r="H73" s="157">
        <f t="shared" si="11"/>
        <v>0</v>
      </c>
      <c r="I73" s="158">
        <f t="shared" si="12"/>
        <v>0</v>
      </c>
      <c r="J73" s="157">
        <f t="shared" si="13"/>
        <v>0</v>
      </c>
      <c r="K73" s="157">
        <v>10000</v>
      </c>
      <c r="L73" s="159">
        <f t="shared" si="14"/>
        <v>0</v>
      </c>
      <c r="M73" s="157">
        <v>0</v>
      </c>
    </row>
    <row r="74" spans="1:13" s="67" customFormat="1" ht="15.75" customHeight="1" x14ac:dyDescent="0.2">
      <c r="A74" s="48">
        <v>19</v>
      </c>
      <c r="B74" s="166" t="s">
        <v>533</v>
      </c>
      <c r="C74" s="166" t="s">
        <v>532</v>
      </c>
      <c r="D74" s="157">
        <v>0</v>
      </c>
      <c r="E74" s="157">
        <f>+'SMT KIT Rcvd '!D73</f>
        <v>0</v>
      </c>
      <c r="F74" s="157">
        <f>'Excise Dispatch '!D73</f>
        <v>0</v>
      </c>
      <c r="G74" s="157">
        <f>+'PACK Prod'!D73</f>
        <v>0</v>
      </c>
      <c r="H74" s="157">
        <f t="shared" si="11"/>
        <v>0</v>
      </c>
      <c r="I74" s="158">
        <f t="shared" si="12"/>
        <v>0</v>
      </c>
      <c r="J74" s="157">
        <f t="shared" si="13"/>
        <v>0</v>
      </c>
      <c r="K74" s="157">
        <v>0</v>
      </c>
      <c r="L74" s="159">
        <f t="shared" si="14"/>
        <v>0</v>
      </c>
      <c r="M74" s="157">
        <v>0</v>
      </c>
    </row>
    <row r="75" spans="1:13" s="67" customFormat="1" ht="15.75" customHeight="1" x14ac:dyDescent="0.2">
      <c r="A75" s="48">
        <v>20</v>
      </c>
      <c r="B75" s="166" t="s">
        <v>738</v>
      </c>
      <c r="C75" s="166" t="s">
        <v>737</v>
      </c>
      <c r="D75" s="157">
        <v>0</v>
      </c>
      <c r="E75" s="157">
        <f>+'SMT KIT Rcvd '!D74</f>
        <v>6000</v>
      </c>
      <c r="F75" s="157">
        <f>'Excise Dispatch '!D74</f>
        <v>6000</v>
      </c>
      <c r="G75" s="157">
        <f>+'PACK Prod'!D74</f>
        <v>6000</v>
      </c>
      <c r="H75" s="157">
        <f t="shared" si="11"/>
        <v>0</v>
      </c>
      <c r="I75" s="158">
        <f t="shared" si="12"/>
        <v>0</v>
      </c>
      <c r="J75" s="157">
        <f t="shared" si="13"/>
        <v>0</v>
      </c>
      <c r="K75" s="157">
        <v>6000</v>
      </c>
      <c r="L75" s="159">
        <f t="shared" si="14"/>
        <v>0</v>
      </c>
      <c r="M75" s="157">
        <v>0</v>
      </c>
    </row>
    <row r="76" spans="1:13" s="67" customFormat="1" ht="15.75" customHeight="1" x14ac:dyDescent="0.2">
      <c r="A76" s="48">
        <v>21</v>
      </c>
      <c r="B76" s="166" t="s">
        <v>246</v>
      </c>
      <c r="C76" s="166" t="s">
        <v>245</v>
      </c>
      <c r="D76" s="157">
        <v>375</v>
      </c>
      <c r="E76" s="157">
        <f>+'SMT KIT Rcvd '!D75</f>
        <v>20000</v>
      </c>
      <c r="F76" s="157">
        <f>'Excise Dispatch '!D75</f>
        <v>20375</v>
      </c>
      <c r="G76" s="157">
        <f>+'PACK Prod'!D75</f>
        <v>20000</v>
      </c>
      <c r="H76" s="157">
        <f t="shared" si="11"/>
        <v>0</v>
      </c>
      <c r="I76" s="158">
        <f t="shared" si="12"/>
        <v>0</v>
      </c>
      <c r="J76" s="157">
        <f t="shared" si="13"/>
        <v>0</v>
      </c>
      <c r="K76" s="157">
        <v>20000</v>
      </c>
      <c r="L76" s="159">
        <f t="shared" si="14"/>
        <v>-375</v>
      </c>
      <c r="M76" s="157">
        <v>375</v>
      </c>
    </row>
    <row r="77" spans="1:13" s="67" customFormat="1" ht="15.75" customHeight="1" x14ac:dyDescent="0.2">
      <c r="A77" s="48">
        <v>22</v>
      </c>
      <c r="B77" s="166" t="s">
        <v>750</v>
      </c>
      <c r="C77" s="166" t="s">
        <v>749</v>
      </c>
      <c r="D77" s="157">
        <v>0</v>
      </c>
      <c r="E77" s="157">
        <f>+'SMT KIT Rcvd '!D76</f>
        <v>0</v>
      </c>
      <c r="F77" s="157">
        <f>'Excise Dispatch '!D76</f>
        <v>0</v>
      </c>
      <c r="G77" s="157">
        <f>+'PACK Prod'!D76</f>
        <v>0</v>
      </c>
      <c r="H77" s="157">
        <f t="shared" si="11"/>
        <v>0</v>
      </c>
      <c r="I77" s="158">
        <f t="shared" si="12"/>
        <v>0</v>
      </c>
      <c r="J77" s="157">
        <f t="shared" si="13"/>
        <v>0</v>
      </c>
      <c r="K77" s="157">
        <v>0</v>
      </c>
      <c r="L77" s="159">
        <f t="shared" si="14"/>
        <v>0</v>
      </c>
      <c r="M77" s="157">
        <v>0</v>
      </c>
    </row>
    <row r="78" spans="1:13" s="67" customFormat="1" ht="15.75" customHeight="1" x14ac:dyDescent="0.2">
      <c r="A78" s="48">
        <v>23</v>
      </c>
      <c r="B78" s="166" t="s">
        <v>312</v>
      </c>
      <c r="C78" s="166" t="s">
        <v>311</v>
      </c>
      <c r="D78" s="157">
        <v>0</v>
      </c>
      <c r="E78" s="157">
        <f>+'SMT KIT Rcvd '!D77</f>
        <v>10500</v>
      </c>
      <c r="F78" s="157">
        <f>'Excise Dispatch '!D77</f>
        <v>10500</v>
      </c>
      <c r="G78" s="157">
        <f>+'PACK Prod'!D77</f>
        <v>10500</v>
      </c>
      <c r="H78" s="157">
        <f t="shared" si="11"/>
        <v>0</v>
      </c>
      <c r="I78" s="158">
        <f t="shared" si="12"/>
        <v>0</v>
      </c>
      <c r="J78" s="157">
        <f t="shared" si="13"/>
        <v>0</v>
      </c>
      <c r="K78" s="157">
        <v>10500</v>
      </c>
      <c r="L78" s="159">
        <f t="shared" si="14"/>
        <v>0</v>
      </c>
      <c r="M78" s="157">
        <v>0</v>
      </c>
    </row>
    <row r="79" spans="1:13" s="67" customFormat="1" ht="15.75" customHeight="1" x14ac:dyDescent="0.2">
      <c r="A79" s="48">
        <v>24</v>
      </c>
      <c r="B79" s="166" t="s">
        <v>169</v>
      </c>
      <c r="C79" s="166" t="s">
        <v>168</v>
      </c>
      <c r="D79" s="157">
        <v>0</v>
      </c>
      <c r="E79" s="157">
        <f>+'SMT KIT Rcvd '!D78</f>
        <v>10000</v>
      </c>
      <c r="F79" s="157">
        <f>'Excise Dispatch '!D78</f>
        <v>10000</v>
      </c>
      <c r="G79" s="157">
        <f>+'PACK Prod'!D78</f>
        <v>10000</v>
      </c>
      <c r="H79" s="157">
        <f t="shared" si="11"/>
        <v>0</v>
      </c>
      <c r="I79" s="158">
        <f t="shared" si="12"/>
        <v>0</v>
      </c>
      <c r="J79" s="157">
        <f t="shared" si="13"/>
        <v>0</v>
      </c>
      <c r="K79" s="157">
        <v>10000</v>
      </c>
      <c r="L79" s="159">
        <f t="shared" si="14"/>
        <v>0</v>
      </c>
      <c r="M79" s="157">
        <v>0</v>
      </c>
    </row>
    <row r="80" spans="1:13" s="67" customFormat="1" ht="15.75" customHeight="1" x14ac:dyDescent="0.2">
      <c r="A80" s="48">
        <v>25</v>
      </c>
      <c r="B80" s="166" t="s">
        <v>324</v>
      </c>
      <c r="C80" s="166" t="s">
        <v>323</v>
      </c>
      <c r="D80" s="157">
        <v>0</v>
      </c>
      <c r="E80" s="157">
        <f>+'SMT KIT Rcvd '!D79</f>
        <v>39500</v>
      </c>
      <c r="F80" s="157">
        <f>'Excise Dispatch '!D79</f>
        <v>39500</v>
      </c>
      <c r="G80" s="157">
        <f>+'PACK Prod'!D79</f>
        <v>39500</v>
      </c>
      <c r="H80" s="157">
        <f t="shared" si="11"/>
        <v>0</v>
      </c>
      <c r="I80" s="158">
        <f t="shared" si="12"/>
        <v>0</v>
      </c>
      <c r="J80" s="157">
        <f t="shared" si="13"/>
        <v>0</v>
      </c>
      <c r="K80" s="157">
        <v>39500</v>
      </c>
      <c r="L80" s="159">
        <f t="shared" si="14"/>
        <v>0</v>
      </c>
      <c r="M80" s="157">
        <v>0</v>
      </c>
    </row>
    <row r="81" spans="1:13" s="67" customFormat="1" ht="15.75" customHeight="1" x14ac:dyDescent="0.2">
      <c r="A81" s="48">
        <v>26</v>
      </c>
      <c r="B81" s="166" t="s">
        <v>508</v>
      </c>
      <c r="C81" s="166" t="s">
        <v>507</v>
      </c>
      <c r="D81" s="157">
        <v>748</v>
      </c>
      <c r="E81" s="157">
        <f>+'SMT KIT Rcvd '!D80</f>
        <v>0</v>
      </c>
      <c r="F81" s="157">
        <f>'Excise Dispatch '!D80</f>
        <v>748</v>
      </c>
      <c r="G81" s="157">
        <f>+'PACK Prod'!D80</f>
        <v>0</v>
      </c>
      <c r="H81" s="157">
        <f t="shared" si="11"/>
        <v>0</v>
      </c>
      <c r="I81" s="158">
        <f t="shared" si="12"/>
        <v>0</v>
      </c>
      <c r="J81" s="157">
        <f t="shared" si="13"/>
        <v>0</v>
      </c>
      <c r="K81" s="157">
        <v>0</v>
      </c>
      <c r="L81" s="159">
        <f t="shared" si="14"/>
        <v>-748</v>
      </c>
      <c r="M81" s="157">
        <v>748</v>
      </c>
    </row>
    <row r="82" spans="1:13" s="67" customFormat="1" ht="15.75" customHeight="1" x14ac:dyDescent="0.2">
      <c r="A82" s="48">
        <v>27</v>
      </c>
      <c r="B82" s="166" t="s">
        <v>250</v>
      </c>
      <c r="C82" s="166" t="s">
        <v>249</v>
      </c>
      <c r="D82" s="157">
        <v>0</v>
      </c>
      <c r="E82" s="157">
        <f>+'SMT KIT Rcvd '!D81</f>
        <v>0</v>
      </c>
      <c r="F82" s="157">
        <f>'Excise Dispatch '!D81</f>
        <v>0</v>
      </c>
      <c r="G82" s="157">
        <f>+'PACK Prod'!D81</f>
        <v>0</v>
      </c>
      <c r="H82" s="157">
        <f t="shared" si="11"/>
        <v>0</v>
      </c>
      <c r="I82" s="158">
        <f t="shared" si="12"/>
        <v>0</v>
      </c>
      <c r="J82" s="157">
        <f t="shared" si="13"/>
        <v>0</v>
      </c>
      <c r="K82" s="157">
        <v>0</v>
      </c>
      <c r="L82" s="159">
        <f t="shared" si="14"/>
        <v>0</v>
      </c>
      <c r="M82" s="157">
        <v>0</v>
      </c>
    </row>
    <row r="83" spans="1:13" s="67" customFormat="1" ht="15.75" customHeight="1" x14ac:dyDescent="0.2">
      <c r="A83" s="48">
        <v>28</v>
      </c>
      <c r="B83" s="166" t="s">
        <v>479</v>
      </c>
      <c r="C83" s="166" t="s">
        <v>478</v>
      </c>
      <c r="D83" s="157">
        <v>0</v>
      </c>
      <c r="E83" s="157">
        <f>+'SMT KIT Rcvd '!D82</f>
        <v>50000</v>
      </c>
      <c r="F83" s="157">
        <f>'Excise Dispatch '!D82</f>
        <v>50000</v>
      </c>
      <c r="G83" s="157">
        <f>+'PACK Prod'!D82</f>
        <v>50000</v>
      </c>
      <c r="H83" s="157">
        <f t="shared" si="11"/>
        <v>0</v>
      </c>
      <c r="I83" s="158">
        <f t="shared" si="12"/>
        <v>0</v>
      </c>
      <c r="J83" s="157">
        <f t="shared" si="13"/>
        <v>0</v>
      </c>
      <c r="K83" s="157">
        <v>50000</v>
      </c>
      <c r="L83" s="159">
        <f t="shared" si="14"/>
        <v>0</v>
      </c>
      <c r="M83" s="157">
        <v>0</v>
      </c>
    </row>
    <row r="84" spans="1:13" s="67" customFormat="1" ht="15.75" customHeight="1" x14ac:dyDescent="0.2">
      <c r="A84" s="48">
        <v>29</v>
      </c>
      <c r="B84" s="166" t="s">
        <v>480</v>
      </c>
      <c r="C84" s="166" t="s">
        <v>481</v>
      </c>
      <c r="D84" s="157">
        <v>0</v>
      </c>
      <c r="E84" s="157">
        <f>+'SMT KIT Rcvd '!D83</f>
        <v>0</v>
      </c>
      <c r="F84" s="157">
        <f>'Excise Dispatch '!D83</f>
        <v>0</v>
      </c>
      <c r="G84" s="157">
        <f>+'PACK Prod'!D83</f>
        <v>0</v>
      </c>
      <c r="H84" s="157">
        <f t="shared" si="11"/>
        <v>0</v>
      </c>
      <c r="I84" s="158">
        <f t="shared" si="12"/>
        <v>0</v>
      </c>
      <c r="J84" s="157">
        <f t="shared" si="13"/>
        <v>0</v>
      </c>
      <c r="K84" s="157">
        <v>0</v>
      </c>
      <c r="L84" s="159">
        <f t="shared" si="14"/>
        <v>0</v>
      </c>
      <c r="M84" s="157">
        <v>0</v>
      </c>
    </row>
    <row r="85" spans="1:13" s="67" customFormat="1" ht="15.75" customHeight="1" x14ac:dyDescent="0.2">
      <c r="A85" s="48">
        <v>30</v>
      </c>
      <c r="B85" s="166" t="s">
        <v>242</v>
      </c>
      <c r="C85" s="166" t="s">
        <v>241</v>
      </c>
      <c r="D85" s="157">
        <v>0</v>
      </c>
      <c r="E85" s="157">
        <f>+'SMT KIT Rcvd '!D84</f>
        <v>69939</v>
      </c>
      <c r="F85" s="157">
        <f>'Excise Dispatch '!D84</f>
        <v>69939</v>
      </c>
      <c r="G85" s="157">
        <f>+'PACK Prod'!D84</f>
        <v>69939</v>
      </c>
      <c r="H85" s="157">
        <f t="shared" si="11"/>
        <v>0</v>
      </c>
      <c r="I85" s="158">
        <f t="shared" si="12"/>
        <v>0</v>
      </c>
      <c r="J85" s="157">
        <f t="shared" si="13"/>
        <v>0</v>
      </c>
      <c r="K85" s="157">
        <v>69939</v>
      </c>
      <c r="L85" s="159">
        <f t="shared" si="14"/>
        <v>0</v>
      </c>
      <c r="M85" s="157">
        <v>0</v>
      </c>
    </row>
    <row r="86" spans="1:13" s="67" customFormat="1" ht="15.75" customHeight="1" x14ac:dyDescent="0.2">
      <c r="A86" s="48">
        <v>31</v>
      </c>
      <c r="B86" s="166" t="s">
        <v>376</v>
      </c>
      <c r="C86" s="166" t="s">
        <v>375</v>
      </c>
      <c r="D86" s="157">
        <v>0</v>
      </c>
      <c r="E86" s="157">
        <f>+'SMT KIT Rcvd '!D85</f>
        <v>0</v>
      </c>
      <c r="F86" s="157">
        <f>'Excise Dispatch '!D85</f>
        <v>0</v>
      </c>
      <c r="G86" s="157">
        <f>+'PACK Prod'!D85</f>
        <v>0</v>
      </c>
      <c r="H86" s="157">
        <f t="shared" si="11"/>
        <v>0</v>
      </c>
      <c r="I86" s="158">
        <f t="shared" si="12"/>
        <v>0</v>
      </c>
      <c r="J86" s="157">
        <f t="shared" si="13"/>
        <v>0</v>
      </c>
      <c r="K86" s="157">
        <v>0</v>
      </c>
      <c r="L86" s="159">
        <f t="shared" si="14"/>
        <v>0</v>
      </c>
      <c r="M86" s="157">
        <v>0</v>
      </c>
    </row>
    <row r="87" spans="1:13" s="67" customFormat="1" ht="15.75" customHeight="1" x14ac:dyDescent="0.2">
      <c r="A87" s="48">
        <v>32</v>
      </c>
      <c r="B87" s="166" t="s">
        <v>98</v>
      </c>
      <c r="C87" s="166" t="s">
        <v>99</v>
      </c>
      <c r="D87" s="157">
        <v>0</v>
      </c>
      <c r="E87" s="157">
        <f>+'SMT KIT Rcvd '!D86</f>
        <v>0</v>
      </c>
      <c r="F87" s="157">
        <f>'Excise Dispatch '!D86</f>
        <v>0</v>
      </c>
      <c r="G87" s="157">
        <f>+'PACK Prod'!D86</f>
        <v>0</v>
      </c>
      <c r="H87" s="157">
        <f t="shared" si="11"/>
        <v>0</v>
      </c>
      <c r="I87" s="158">
        <f t="shared" si="12"/>
        <v>0</v>
      </c>
      <c r="J87" s="157">
        <f t="shared" si="13"/>
        <v>0</v>
      </c>
      <c r="K87" s="157">
        <v>0</v>
      </c>
      <c r="L87" s="159">
        <f t="shared" si="14"/>
        <v>0</v>
      </c>
      <c r="M87" s="157">
        <v>0</v>
      </c>
    </row>
    <row r="88" spans="1:13" s="67" customFormat="1" ht="15.75" customHeight="1" x14ac:dyDescent="0.2">
      <c r="A88" s="48">
        <v>33</v>
      </c>
      <c r="B88" s="166" t="s">
        <v>100</v>
      </c>
      <c r="C88" s="166" t="s">
        <v>101</v>
      </c>
      <c r="D88" s="157">
        <v>0</v>
      </c>
      <c r="E88" s="157">
        <f>+'SMT KIT Rcvd '!D87</f>
        <v>0</v>
      </c>
      <c r="F88" s="157">
        <f>'Excise Dispatch '!D87</f>
        <v>0</v>
      </c>
      <c r="G88" s="157">
        <f>+'PACK Prod'!D87</f>
        <v>0</v>
      </c>
      <c r="H88" s="157">
        <f t="shared" si="11"/>
        <v>0</v>
      </c>
      <c r="I88" s="158">
        <f t="shared" si="12"/>
        <v>0</v>
      </c>
      <c r="J88" s="157">
        <f t="shared" si="13"/>
        <v>0</v>
      </c>
      <c r="K88" s="157">
        <v>0</v>
      </c>
      <c r="L88" s="159">
        <f t="shared" si="14"/>
        <v>0</v>
      </c>
      <c r="M88" s="157">
        <v>0</v>
      </c>
    </row>
    <row r="89" spans="1:13" s="67" customFormat="1" ht="15.75" customHeight="1" x14ac:dyDescent="0.2">
      <c r="A89" s="48">
        <v>34</v>
      </c>
      <c r="B89" s="166" t="s">
        <v>146</v>
      </c>
      <c r="C89" s="166" t="s">
        <v>93</v>
      </c>
      <c r="D89" s="157">
        <v>0</v>
      </c>
      <c r="E89" s="157">
        <f>+'SMT KIT Rcvd '!D88</f>
        <v>19000</v>
      </c>
      <c r="F89" s="157">
        <f>'Excise Dispatch '!D88</f>
        <v>19000</v>
      </c>
      <c r="G89" s="157">
        <f>+'PACK Prod'!D88</f>
        <v>19000</v>
      </c>
      <c r="H89" s="157">
        <f t="shared" si="11"/>
        <v>0</v>
      </c>
      <c r="I89" s="158">
        <f t="shared" si="12"/>
        <v>0</v>
      </c>
      <c r="J89" s="157">
        <f t="shared" si="13"/>
        <v>0</v>
      </c>
      <c r="K89" s="157">
        <v>19000</v>
      </c>
      <c r="L89" s="159">
        <f t="shared" si="14"/>
        <v>0</v>
      </c>
      <c r="M89" s="157">
        <v>0</v>
      </c>
    </row>
    <row r="90" spans="1:13" s="67" customFormat="1" ht="15.75" customHeight="1" x14ac:dyDescent="0.2">
      <c r="A90" s="48">
        <v>35</v>
      </c>
      <c r="B90" s="166" t="s">
        <v>177</v>
      </c>
      <c r="C90" s="166" t="s">
        <v>176</v>
      </c>
      <c r="D90" s="157">
        <v>160</v>
      </c>
      <c r="E90" s="157">
        <f>+'SMT KIT Rcvd '!D89</f>
        <v>36840</v>
      </c>
      <c r="F90" s="157">
        <f>'Excise Dispatch '!D89</f>
        <v>37000</v>
      </c>
      <c r="G90" s="157">
        <f>+'PACK Prod'!D89</f>
        <v>37000</v>
      </c>
      <c r="H90" s="157">
        <f t="shared" si="11"/>
        <v>0</v>
      </c>
      <c r="I90" s="158">
        <f t="shared" si="12"/>
        <v>0</v>
      </c>
      <c r="J90" s="157">
        <f t="shared" si="13"/>
        <v>0</v>
      </c>
      <c r="K90" s="157">
        <v>36840</v>
      </c>
      <c r="L90" s="159">
        <f t="shared" si="14"/>
        <v>-160</v>
      </c>
      <c r="M90" s="157">
        <v>0</v>
      </c>
    </row>
    <row r="91" spans="1:13" s="67" customFormat="1" ht="15.75" customHeight="1" x14ac:dyDescent="0.2">
      <c r="A91" s="48">
        <v>36</v>
      </c>
      <c r="B91" s="166" t="s">
        <v>463</v>
      </c>
      <c r="C91" s="166" t="s">
        <v>462</v>
      </c>
      <c r="D91" s="157">
        <v>0</v>
      </c>
      <c r="E91" s="157">
        <f>+'SMT KIT Rcvd '!D90</f>
        <v>0</v>
      </c>
      <c r="F91" s="157">
        <f>'Excise Dispatch '!D90</f>
        <v>0</v>
      </c>
      <c r="G91" s="157">
        <f>+'PACK Prod'!D90</f>
        <v>0</v>
      </c>
      <c r="H91" s="157">
        <f t="shared" si="11"/>
        <v>0</v>
      </c>
      <c r="I91" s="158">
        <f t="shared" si="12"/>
        <v>0</v>
      </c>
      <c r="J91" s="157">
        <f t="shared" si="13"/>
        <v>0</v>
      </c>
      <c r="K91" s="157">
        <v>0</v>
      </c>
      <c r="L91" s="159">
        <f t="shared" si="14"/>
        <v>0</v>
      </c>
      <c r="M91" s="157">
        <v>0</v>
      </c>
    </row>
    <row r="92" spans="1:13" s="67" customFormat="1" ht="15.75" customHeight="1" x14ac:dyDescent="0.2">
      <c r="A92" s="48">
        <v>37</v>
      </c>
      <c r="B92" s="166" t="s">
        <v>254</v>
      </c>
      <c r="C92" s="166" t="s">
        <v>253</v>
      </c>
      <c r="D92" s="157">
        <v>0</v>
      </c>
      <c r="E92" s="157">
        <f>+'SMT KIT Rcvd '!D91</f>
        <v>0</v>
      </c>
      <c r="F92" s="157">
        <f>'Excise Dispatch '!D91</f>
        <v>0</v>
      </c>
      <c r="G92" s="157">
        <f>+'PACK Prod'!D91</f>
        <v>0</v>
      </c>
      <c r="H92" s="157">
        <f t="shared" si="11"/>
        <v>0</v>
      </c>
      <c r="I92" s="158">
        <f t="shared" si="12"/>
        <v>0</v>
      </c>
      <c r="J92" s="157">
        <f t="shared" si="13"/>
        <v>0</v>
      </c>
      <c r="K92" s="157">
        <v>0</v>
      </c>
      <c r="L92" s="159">
        <f t="shared" si="14"/>
        <v>0</v>
      </c>
      <c r="M92" s="157">
        <v>0</v>
      </c>
    </row>
    <row r="93" spans="1:13" s="67" customFormat="1" ht="15.75" customHeight="1" x14ac:dyDescent="0.2">
      <c r="A93" s="48">
        <v>38</v>
      </c>
      <c r="B93" s="166" t="s">
        <v>238</v>
      </c>
      <c r="C93" s="166" t="s">
        <v>237</v>
      </c>
      <c r="D93" s="157">
        <v>0</v>
      </c>
      <c r="E93" s="157">
        <f>+'SMT KIT Rcvd '!D92</f>
        <v>10000</v>
      </c>
      <c r="F93" s="157">
        <f>'Excise Dispatch '!D92</f>
        <v>10000</v>
      </c>
      <c r="G93" s="157">
        <f>+'PACK Prod'!D92</f>
        <v>10000</v>
      </c>
      <c r="H93" s="157">
        <f t="shared" si="11"/>
        <v>0</v>
      </c>
      <c r="I93" s="158">
        <f t="shared" si="12"/>
        <v>0</v>
      </c>
      <c r="J93" s="157">
        <f t="shared" si="13"/>
        <v>0</v>
      </c>
      <c r="K93" s="157">
        <v>10000</v>
      </c>
      <c r="L93" s="159">
        <f t="shared" si="14"/>
        <v>0</v>
      </c>
      <c r="M93" s="157">
        <v>0</v>
      </c>
    </row>
    <row r="94" spans="1:13" s="67" customFormat="1" ht="15.75" customHeight="1" x14ac:dyDescent="0.2">
      <c r="A94" s="48">
        <v>39</v>
      </c>
      <c r="B94" s="166" t="s">
        <v>197</v>
      </c>
      <c r="C94" s="166" t="s">
        <v>196</v>
      </c>
      <c r="D94" s="157">
        <v>0</v>
      </c>
      <c r="E94" s="157">
        <f>+'SMT KIT Rcvd '!D93</f>
        <v>27000</v>
      </c>
      <c r="F94" s="157">
        <f>'Excise Dispatch '!D93</f>
        <v>27000</v>
      </c>
      <c r="G94" s="157">
        <f>+'PACK Prod'!D93</f>
        <v>27000</v>
      </c>
      <c r="H94" s="157">
        <f t="shared" si="11"/>
        <v>0</v>
      </c>
      <c r="I94" s="158">
        <f t="shared" si="12"/>
        <v>0</v>
      </c>
      <c r="J94" s="157">
        <f t="shared" si="13"/>
        <v>0</v>
      </c>
      <c r="K94" s="157">
        <v>27000</v>
      </c>
      <c r="L94" s="159">
        <f t="shared" si="14"/>
        <v>0</v>
      </c>
      <c r="M94" s="157">
        <v>0</v>
      </c>
    </row>
    <row r="95" spans="1:13" s="67" customFormat="1" ht="15.75" customHeight="1" x14ac:dyDescent="0.2">
      <c r="A95" s="48">
        <v>40</v>
      </c>
      <c r="B95" s="166" t="s">
        <v>203</v>
      </c>
      <c r="C95" s="166" t="s">
        <v>202</v>
      </c>
      <c r="D95" s="157">
        <v>0</v>
      </c>
      <c r="E95" s="157">
        <f>+'SMT KIT Rcvd '!D94</f>
        <v>4700</v>
      </c>
      <c r="F95" s="157">
        <f>'Excise Dispatch '!D94</f>
        <v>4700</v>
      </c>
      <c r="G95" s="157">
        <f>+'PACK Prod'!D94</f>
        <v>4700</v>
      </c>
      <c r="H95" s="157">
        <f t="shared" si="11"/>
        <v>0</v>
      </c>
      <c r="I95" s="158">
        <f t="shared" si="12"/>
        <v>0</v>
      </c>
      <c r="J95" s="157">
        <f t="shared" si="13"/>
        <v>0</v>
      </c>
      <c r="K95" s="157">
        <v>4700</v>
      </c>
      <c r="L95" s="159">
        <f t="shared" si="14"/>
        <v>0</v>
      </c>
      <c r="M95" s="157">
        <v>0</v>
      </c>
    </row>
    <row r="96" spans="1:13" s="67" customFormat="1" ht="15.75" customHeight="1" x14ac:dyDescent="0.2">
      <c r="A96" s="48">
        <v>41</v>
      </c>
      <c r="B96" s="166" t="s">
        <v>147</v>
      </c>
      <c r="C96" s="166" t="s">
        <v>94</v>
      </c>
      <c r="D96" s="157">
        <v>0</v>
      </c>
      <c r="E96" s="157">
        <f>+'SMT KIT Rcvd '!D95</f>
        <v>11600</v>
      </c>
      <c r="F96" s="157">
        <f>'Excise Dispatch '!D95</f>
        <v>11600</v>
      </c>
      <c r="G96" s="157">
        <f>+'PACK Prod'!D95</f>
        <v>11600</v>
      </c>
      <c r="H96" s="157">
        <f t="shared" si="11"/>
        <v>0</v>
      </c>
      <c r="I96" s="158">
        <f t="shared" si="12"/>
        <v>0</v>
      </c>
      <c r="J96" s="157">
        <f t="shared" si="13"/>
        <v>0</v>
      </c>
      <c r="K96" s="157">
        <v>11600</v>
      </c>
      <c r="L96" s="159">
        <f t="shared" si="14"/>
        <v>0</v>
      </c>
      <c r="M96" s="157">
        <v>0</v>
      </c>
    </row>
    <row r="97" spans="1:13" s="67" customFormat="1" ht="15.75" customHeight="1" x14ac:dyDescent="0.2">
      <c r="A97" s="48">
        <v>42</v>
      </c>
      <c r="B97" s="166" t="s">
        <v>268</v>
      </c>
      <c r="C97" s="166" t="s">
        <v>265</v>
      </c>
      <c r="D97" s="157">
        <v>0</v>
      </c>
      <c r="E97" s="157">
        <f>+'SMT KIT Rcvd '!D96</f>
        <v>0</v>
      </c>
      <c r="F97" s="157">
        <f>'Excise Dispatch '!D96</f>
        <v>0</v>
      </c>
      <c r="G97" s="157">
        <f>+'PACK Prod'!D96</f>
        <v>0</v>
      </c>
      <c r="H97" s="157">
        <f t="shared" si="11"/>
        <v>0</v>
      </c>
      <c r="I97" s="158">
        <f t="shared" si="12"/>
        <v>0</v>
      </c>
      <c r="J97" s="157">
        <f t="shared" si="13"/>
        <v>0</v>
      </c>
      <c r="K97" s="157">
        <v>0</v>
      </c>
      <c r="L97" s="159">
        <f t="shared" si="14"/>
        <v>0</v>
      </c>
      <c r="M97" s="157">
        <v>0</v>
      </c>
    </row>
    <row r="98" spans="1:13" s="67" customFormat="1" ht="15.75" customHeight="1" x14ac:dyDescent="0.2">
      <c r="A98" s="48">
        <v>43</v>
      </c>
      <c r="B98" s="166" t="s">
        <v>269</v>
      </c>
      <c r="C98" s="166" t="s">
        <v>266</v>
      </c>
      <c r="D98" s="157">
        <v>0</v>
      </c>
      <c r="E98" s="157">
        <f>+'SMT KIT Rcvd '!D97</f>
        <v>0</v>
      </c>
      <c r="F98" s="157">
        <f>'Excise Dispatch '!D97</f>
        <v>0</v>
      </c>
      <c r="G98" s="157">
        <f>+'PACK Prod'!D97</f>
        <v>0</v>
      </c>
      <c r="H98" s="157">
        <f t="shared" si="11"/>
        <v>0</v>
      </c>
      <c r="I98" s="158">
        <f t="shared" si="12"/>
        <v>0</v>
      </c>
      <c r="J98" s="157">
        <f t="shared" si="13"/>
        <v>0</v>
      </c>
      <c r="K98" s="157">
        <v>0</v>
      </c>
      <c r="L98" s="159">
        <f t="shared" si="14"/>
        <v>0</v>
      </c>
      <c r="M98" s="157">
        <v>0</v>
      </c>
    </row>
    <row r="99" spans="1:13" s="67" customFormat="1" ht="15.75" customHeight="1" x14ac:dyDescent="0.2">
      <c r="A99" s="48">
        <v>44</v>
      </c>
      <c r="B99" s="166" t="s">
        <v>270</v>
      </c>
      <c r="C99" s="166" t="s">
        <v>267</v>
      </c>
      <c r="D99" s="157">
        <v>0</v>
      </c>
      <c r="E99" s="157">
        <f>+'SMT KIT Rcvd '!D98</f>
        <v>0</v>
      </c>
      <c r="F99" s="157">
        <f>'Excise Dispatch '!D98</f>
        <v>0</v>
      </c>
      <c r="G99" s="157">
        <f>+'PACK Prod'!D98</f>
        <v>0</v>
      </c>
      <c r="H99" s="157">
        <f t="shared" si="11"/>
        <v>0</v>
      </c>
      <c r="I99" s="158">
        <f t="shared" si="12"/>
        <v>0</v>
      </c>
      <c r="J99" s="157">
        <f t="shared" si="13"/>
        <v>0</v>
      </c>
      <c r="K99" s="157">
        <v>0</v>
      </c>
      <c r="L99" s="159">
        <f t="shared" si="14"/>
        <v>0</v>
      </c>
      <c r="M99" s="157">
        <v>0</v>
      </c>
    </row>
    <row r="100" spans="1:13" s="67" customFormat="1" ht="15.75" customHeight="1" x14ac:dyDescent="0.2">
      <c r="A100" s="48">
        <v>45</v>
      </c>
      <c r="B100" s="166" t="s">
        <v>205</v>
      </c>
      <c r="C100" s="166" t="s">
        <v>204</v>
      </c>
      <c r="D100" s="157">
        <v>1652</v>
      </c>
      <c r="E100" s="157">
        <f>+'SMT KIT Rcvd '!D99</f>
        <v>0</v>
      </c>
      <c r="F100" s="157">
        <f>'Excise Dispatch '!D99</f>
        <v>1652</v>
      </c>
      <c r="G100" s="157">
        <f>+'PACK Prod'!D99</f>
        <v>0</v>
      </c>
      <c r="H100" s="157">
        <f t="shared" si="11"/>
        <v>0</v>
      </c>
      <c r="I100" s="158">
        <f t="shared" si="12"/>
        <v>0</v>
      </c>
      <c r="J100" s="157">
        <f t="shared" si="13"/>
        <v>0</v>
      </c>
      <c r="K100" s="157">
        <v>0</v>
      </c>
      <c r="L100" s="159">
        <f t="shared" si="14"/>
        <v>-1652</v>
      </c>
      <c r="M100" s="157">
        <v>1652</v>
      </c>
    </row>
    <row r="101" spans="1:13" s="67" customFormat="1" ht="15.75" customHeight="1" x14ac:dyDescent="0.2">
      <c r="A101" s="48">
        <v>46</v>
      </c>
      <c r="B101" s="166" t="s">
        <v>187</v>
      </c>
      <c r="C101" s="166" t="s">
        <v>186</v>
      </c>
      <c r="D101" s="157">
        <v>7720</v>
      </c>
      <c r="E101" s="157">
        <f>+'SMT KIT Rcvd '!D100</f>
        <v>44000</v>
      </c>
      <c r="F101" s="157">
        <f>'Excise Dispatch '!D100</f>
        <v>51720</v>
      </c>
      <c r="G101" s="157">
        <f>+'PACK Prod'!D100</f>
        <v>44000</v>
      </c>
      <c r="H101" s="157">
        <f t="shared" si="11"/>
        <v>0</v>
      </c>
      <c r="I101" s="158">
        <f t="shared" si="12"/>
        <v>0</v>
      </c>
      <c r="J101" s="157">
        <f t="shared" si="13"/>
        <v>0</v>
      </c>
      <c r="K101" s="157">
        <v>44000</v>
      </c>
      <c r="L101" s="159">
        <f t="shared" si="14"/>
        <v>-7720</v>
      </c>
      <c r="M101" s="157">
        <v>7720</v>
      </c>
    </row>
    <row r="102" spans="1:13" s="153" customFormat="1" ht="14.25" customHeight="1" x14ac:dyDescent="0.2">
      <c r="A102" s="151" t="s">
        <v>140</v>
      </c>
      <c r="B102" s="154" t="s">
        <v>121</v>
      </c>
      <c r="C102" s="162" t="s">
        <v>141</v>
      </c>
      <c r="D102" s="164">
        <f>SUM(D103:D144)</f>
        <v>562641</v>
      </c>
      <c r="E102" s="164">
        <f t="shared" ref="E102:L102" si="15">SUM(E103:E144)</f>
        <v>2013648</v>
      </c>
      <c r="F102" s="164">
        <f t="shared" si="15"/>
        <v>2494179</v>
      </c>
      <c r="G102" s="164">
        <f t="shared" si="15"/>
        <v>2409346</v>
      </c>
      <c r="H102" s="164">
        <f t="shared" si="15"/>
        <v>82110</v>
      </c>
      <c r="I102" s="164">
        <f t="shared" si="15"/>
        <v>82110</v>
      </c>
      <c r="J102" s="164">
        <f t="shared" si="15"/>
        <v>0</v>
      </c>
      <c r="K102" s="164">
        <f t="shared" si="15"/>
        <v>2013648</v>
      </c>
      <c r="L102" s="164">
        <f t="shared" si="15"/>
        <v>-562641</v>
      </c>
      <c r="M102" s="164">
        <f t="shared" ref="M102" si="16">SUM(M103:M144)</f>
        <v>166943</v>
      </c>
    </row>
    <row r="103" spans="1:13" s="67" customFormat="1" ht="15.75" customHeight="1" x14ac:dyDescent="0.2">
      <c r="A103" s="48">
        <v>1</v>
      </c>
      <c r="B103" s="166" t="s">
        <v>181</v>
      </c>
      <c r="C103" s="166" t="s">
        <v>180</v>
      </c>
      <c r="D103" s="157">
        <v>864</v>
      </c>
      <c r="E103" s="157">
        <f>+'SMT KIT Rcvd '!D102</f>
        <v>0</v>
      </c>
      <c r="F103" s="157">
        <f>+'Excise Dispatch '!D102</f>
        <v>0</v>
      </c>
      <c r="G103" s="157">
        <f>+'PACK Prod'!D102</f>
        <v>0</v>
      </c>
      <c r="H103" s="157">
        <f t="shared" ref="H103:H144" si="17">D103+E103-F103</f>
        <v>864</v>
      </c>
      <c r="I103" s="158">
        <f t="shared" ref="I103:I144" si="18">G103+M103-F103</f>
        <v>864</v>
      </c>
      <c r="J103" s="157">
        <f t="shared" ref="J103:J144" si="19">+H103-I103</f>
        <v>0</v>
      </c>
      <c r="K103" s="157">
        <v>0</v>
      </c>
      <c r="L103" s="159">
        <f t="shared" ref="L103:L144" si="20">K103-D103-E103</f>
        <v>-864</v>
      </c>
      <c r="M103" s="157">
        <v>864</v>
      </c>
    </row>
    <row r="104" spans="1:13" s="67" customFormat="1" ht="15.75" customHeight="1" x14ac:dyDescent="0.2">
      <c r="A104" s="48">
        <v>2</v>
      </c>
      <c r="B104" s="166" t="s">
        <v>736</v>
      </c>
      <c r="C104" s="166" t="s">
        <v>735</v>
      </c>
      <c r="D104" s="157">
        <v>5000</v>
      </c>
      <c r="E104" s="157">
        <f>+'SMT KIT Rcvd '!D103</f>
        <v>0</v>
      </c>
      <c r="F104" s="157">
        <f>+'Excise Dispatch '!D103</f>
        <v>5000</v>
      </c>
      <c r="G104" s="157">
        <f>+'PACK Prod'!D103</f>
        <v>4960</v>
      </c>
      <c r="H104" s="157">
        <f t="shared" si="17"/>
        <v>0</v>
      </c>
      <c r="I104" s="158">
        <f t="shared" si="18"/>
        <v>0</v>
      </c>
      <c r="J104" s="157">
        <f t="shared" si="19"/>
        <v>0</v>
      </c>
      <c r="K104" s="157">
        <v>0</v>
      </c>
      <c r="L104" s="159">
        <f t="shared" si="20"/>
        <v>-5000</v>
      </c>
      <c r="M104" s="157">
        <v>40</v>
      </c>
    </row>
    <row r="105" spans="1:13" s="67" customFormat="1" ht="15.75" customHeight="1" x14ac:dyDescent="0.2">
      <c r="A105" s="48">
        <v>3</v>
      </c>
      <c r="B105" s="176" t="s">
        <v>1076</v>
      </c>
      <c r="C105" s="176" t="s">
        <v>1075</v>
      </c>
      <c r="D105" s="157">
        <v>0</v>
      </c>
      <c r="E105" s="157">
        <f>+'SMT KIT Rcvd '!D104</f>
        <v>4000</v>
      </c>
      <c r="F105" s="157">
        <f>+'Excise Dispatch '!D104</f>
        <v>4000</v>
      </c>
      <c r="G105" s="157">
        <f>+'PACK Prod'!D104</f>
        <v>4000</v>
      </c>
      <c r="H105" s="157">
        <f t="shared" si="17"/>
        <v>0</v>
      </c>
      <c r="I105" s="158">
        <f t="shared" si="18"/>
        <v>0</v>
      </c>
      <c r="J105" s="157">
        <f t="shared" si="19"/>
        <v>0</v>
      </c>
      <c r="K105" s="157">
        <v>4000</v>
      </c>
      <c r="L105" s="159">
        <f t="shared" si="20"/>
        <v>0</v>
      </c>
      <c r="M105" s="157">
        <v>0</v>
      </c>
    </row>
    <row r="106" spans="1:13" s="67" customFormat="1" ht="15.75" customHeight="1" x14ac:dyDescent="0.2">
      <c r="A106" s="48">
        <v>4</v>
      </c>
      <c r="B106" s="176" t="s">
        <v>1066</v>
      </c>
      <c r="C106" s="176" t="s">
        <v>1065</v>
      </c>
      <c r="D106" s="157">
        <v>0</v>
      </c>
      <c r="E106" s="157">
        <f>+'SMT KIT Rcvd '!D105</f>
        <v>10000</v>
      </c>
      <c r="F106" s="157">
        <f>+'Excise Dispatch '!D105</f>
        <v>10000</v>
      </c>
      <c r="G106" s="157">
        <f>+'PACK Prod'!D105</f>
        <v>10000</v>
      </c>
      <c r="H106" s="157">
        <f t="shared" si="17"/>
        <v>0</v>
      </c>
      <c r="I106" s="158">
        <f t="shared" si="18"/>
        <v>0</v>
      </c>
      <c r="J106" s="157">
        <f t="shared" si="19"/>
        <v>0</v>
      </c>
      <c r="K106" s="157">
        <v>10000</v>
      </c>
      <c r="L106" s="159">
        <f t="shared" si="20"/>
        <v>0</v>
      </c>
      <c r="M106" s="157">
        <v>0</v>
      </c>
    </row>
    <row r="107" spans="1:13" s="67" customFormat="1" ht="15.75" customHeight="1" x14ac:dyDescent="0.2">
      <c r="A107" s="48">
        <v>5</v>
      </c>
      <c r="B107" s="166" t="s">
        <v>754</v>
      </c>
      <c r="C107" s="166" t="s">
        <v>753</v>
      </c>
      <c r="D107" s="157">
        <v>2000</v>
      </c>
      <c r="E107" s="157">
        <f>+'SMT KIT Rcvd '!D106</f>
        <v>17000</v>
      </c>
      <c r="F107" s="157">
        <f>+'Excise Dispatch '!D106</f>
        <v>19000</v>
      </c>
      <c r="G107" s="157">
        <f>+'PACK Prod'!D106</f>
        <v>17000</v>
      </c>
      <c r="H107" s="157">
        <f t="shared" si="17"/>
        <v>0</v>
      </c>
      <c r="I107" s="158">
        <f t="shared" si="18"/>
        <v>0</v>
      </c>
      <c r="J107" s="157">
        <f t="shared" si="19"/>
        <v>0</v>
      </c>
      <c r="K107" s="157">
        <v>17000</v>
      </c>
      <c r="L107" s="159">
        <f t="shared" si="20"/>
        <v>-2000</v>
      </c>
      <c r="M107" s="157">
        <v>2000</v>
      </c>
    </row>
    <row r="108" spans="1:13" s="67" customFormat="1" ht="15.75" customHeight="1" x14ac:dyDescent="0.2">
      <c r="A108" s="48">
        <v>6</v>
      </c>
      <c r="B108" s="166" t="s">
        <v>755</v>
      </c>
      <c r="C108" s="166" t="s">
        <v>756</v>
      </c>
      <c r="D108" s="157">
        <v>0</v>
      </c>
      <c r="E108" s="157">
        <f>+'SMT KIT Rcvd '!D107</f>
        <v>9000</v>
      </c>
      <c r="F108" s="157">
        <f>+'Excise Dispatch '!D107</f>
        <v>9000</v>
      </c>
      <c r="G108" s="157">
        <f>+'PACK Prod'!D107</f>
        <v>9000</v>
      </c>
      <c r="H108" s="157">
        <f t="shared" si="17"/>
        <v>0</v>
      </c>
      <c r="I108" s="158">
        <f t="shared" si="18"/>
        <v>0</v>
      </c>
      <c r="J108" s="157">
        <f t="shared" si="19"/>
        <v>0</v>
      </c>
      <c r="K108" s="157">
        <v>9000</v>
      </c>
      <c r="L108" s="159">
        <f t="shared" si="20"/>
        <v>0</v>
      </c>
      <c r="M108" s="157">
        <v>0</v>
      </c>
    </row>
    <row r="109" spans="1:13" s="67" customFormat="1" ht="15.75" customHeight="1" x14ac:dyDescent="0.2">
      <c r="A109" s="48">
        <v>7</v>
      </c>
      <c r="B109" s="166" t="s">
        <v>336</v>
      </c>
      <c r="C109" s="166" t="s">
        <v>335</v>
      </c>
      <c r="D109" s="157">
        <f>2960+16</f>
        <v>2976</v>
      </c>
      <c r="E109" s="157">
        <f>+'SMT KIT Rcvd '!D108</f>
        <v>50000</v>
      </c>
      <c r="F109" s="157">
        <f>+'Excise Dispatch '!D108</f>
        <v>52976</v>
      </c>
      <c r="G109" s="157">
        <f>+'PACK Prod'!D108</f>
        <v>52976</v>
      </c>
      <c r="H109" s="157">
        <f t="shared" si="17"/>
        <v>0</v>
      </c>
      <c r="I109" s="158">
        <f t="shared" si="18"/>
        <v>0</v>
      </c>
      <c r="J109" s="157">
        <f t="shared" si="19"/>
        <v>0</v>
      </c>
      <c r="K109" s="157">
        <v>50000</v>
      </c>
      <c r="L109" s="159">
        <f t="shared" si="20"/>
        <v>-2976</v>
      </c>
      <c r="M109" s="157">
        <v>0</v>
      </c>
    </row>
    <row r="110" spans="1:13" s="67" customFormat="1" ht="15.75" customHeight="1" x14ac:dyDescent="0.2">
      <c r="A110" s="48">
        <v>8</v>
      </c>
      <c r="B110" s="166" t="s">
        <v>571</v>
      </c>
      <c r="C110" s="166" t="s">
        <v>570</v>
      </c>
      <c r="D110" s="157">
        <v>70904</v>
      </c>
      <c r="E110" s="157">
        <f>+'SMT KIT Rcvd '!D109</f>
        <v>0</v>
      </c>
      <c r="F110" s="157">
        <f>+'Excise Dispatch '!D109</f>
        <v>62016</v>
      </c>
      <c r="G110" s="157">
        <f>+'PACK Prod'!D109</f>
        <v>0</v>
      </c>
      <c r="H110" s="157">
        <f t="shared" si="17"/>
        <v>8888</v>
      </c>
      <c r="I110" s="158">
        <f t="shared" si="18"/>
        <v>8888</v>
      </c>
      <c r="J110" s="157">
        <f t="shared" si="19"/>
        <v>0</v>
      </c>
      <c r="K110" s="157">
        <v>0</v>
      </c>
      <c r="L110" s="159">
        <f t="shared" si="20"/>
        <v>-70904</v>
      </c>
      <c r="M110" s="157">
        <v>70904</v>
      </c>
    </row>
    <row r="111" spans="1:13" s="67" customFormat="1" ht="15.75" customHeight="1" x14ac:dyDescent="0.2">
      <c r="A111" s="48">
        <v>9</v>
      </c>
      <c r="B111" s="166" t="s">
        <v>102</v>
      </c>
      <c r="C111" s="166" t="s">
        <v>688</v>
      </c>
      <c r="D111" s="157">
        <v>5760</v>
      </c>
      <c r="E111" s="157">
        <f>+'SMT KIT Rcvd '!D110</f>
        <v>0</v>
      </c>
      <c r="F111" s="157">
        <f>+'Excise Dispatch '!D110</f>
        <v>0</v>
      </c>
      <c r="G111" s="157">
        <f>+'PACK Prod'!D110</f>
        <v>0</v>
      </c>
      <c r="H111" s="157">
        <f t="shared" si="17"/>
        <v>5760</v>
      </c>
      <c r="I111" s="158">
        <f t="shared" si="18"/>
        <v>5760</v>
      </c>
      <c r="J111" s="157">
        <f t="shared" si="19"/>
        <v>0</v>
      </c>
      <c r="K111" s="157">
        <v>0</v>
      </c>
      <c r="L111" s="159">
        <f t="shared" si="20"/>
        <v>-5760</v>
      </c>
      <c r="M111" s="157">
        <v>5760</v>
      </c>
    </row>
    <row r="112" spans="1:13" s="67" customFormat="1" ht="15.75" customHeight="1" x14ac:dyDescent="0.2">
      <c r="A112" s="48">
        <v>10</v>
      </c>
      <c r="B112" s="176" t="s">
        <v>1126</v>
      </c>
      <c r="C112" s="176" t="s">
        <v>1125</v>
      </c>
      <c r="D112" s="157">
        <v>0</v>
      </c>
      <c r="E112" s="157">
        <f>+'SMT KIT Rcvd '!D111</f>
        <v>96</v>
      </c>
      <c r="F112" s="157">
        <f>+'Excise Dispatch '!D111</f>
        <v>96</v>
      </c>
      <c r="G112" s="157">
        <f>+'PACK Prod'!D111</f>
        <v>96</v>
      </c>
      <c r="H112" s="157">
        <f t="shared" si="17"/>
        <v>0</v>
      </c>
      <c r="I112" s="158">
        <f t="shared" si="18"/>
        <v>0</v>
      </c>
      <c r="J112" s="157">
        <f t="shared" si="19"/>
        <v>0</v>
      </c>
      <c r="K112" s="157">
        <v>96</v>
      </c>
      <c r="L112" s="159">
        <f t="shared" si="20"/>
        <v>0</v>
      </c>
      <c r="M112" s="157">
        <v>0</v>
      </c>
    </row>
    <row r="113" spans="1:13" s="67" customFormat="1" ht="15.75" customHeight="1" x14ac:dyDescent="0.2">
      <c r="A113" s="48">
        <v>11</v>
      </c>
      <c r="B113" s="176" t="s">
        <v>1180</v>
      </c>
      <c r="C113" s="176" t="s">
        <v>1179</v>
      </c>
      <c r="D113" s="157">
        <v>0</v>
      </c>
      <c r="E113" s="157">
        <f>+'SMT KIT Rcvd '!D112</f>
        <v>400</v>
      </c>
      <c r="F113" s="157">
        <f>+'Excise Dispatch '!D112</f>
        <v>400</v>
      </c>
      <c r="G113" s="157">
        <f>+'PACK Prod'!D112</f>
        <v>400</v>
      </c>
      <c r="H113" s="157">
        <f t="shared" si="17"/>
        <v>0</v>
      </c>
      <c r="I113" s="158">
        <f t="shared" si="18"/>
        <v>0</v>
      </c>
      <c r="J113" s="157">
        <f t="shared" si="19"/>
        <v>0</v>
      </c>
      <c r="K113" s="157">
        <v>400</v>
      </c>
      <c r="L113" s="159">
        <f t="shared" si="20"/>
        <v>0</v>
      </c>
      <c r="M113" s="157">
        <v>0</v>
      </c>
    </row>
    <row r="114" spans="1:13" s="67" customFormat="1" ht="15.75" customHeight="1" x14ac:dyDescent="0.2">
      <c r="A114" s="48">
        <v>12</v>
      </c>
      <c r="B114" s="166" t="s">
        <v>690</v>
      </c>
      <c r="C114" s="166" t="s">
        <v>689</v>
      </c>
      <c r="D114" s="157">
        <v>5616</v>
      </c>
      <c r="E114" s="157">
        <f>+'SMT KIT Rcvd '!D113</f>
        <v>0</v>
      </c>
      <c r="F114" s="157">
        <f>+'Excise Dispatch '!D113</f>
        <v>0</v>
      </c>
      <c r="G114" s="157">
        <f>+'PACK Prod'!D113</f>
        <v>0</v>
      </c>
      <c r="H114" s="157">
        <f t="shared" si="17"/>
        <v>5616</v>
      </c>
      <c r="I114" s="158">
        <f t="shared" si="18"/>
        <v>5616</v>
      </c>
      <c r="J114" s="157">
        <f t="shared" si="19"/>
        <v>0</v>
      </c>
      <c r="K114" s="157">
        <v>0</v>
      </c>
      <c r="L114" s="159">
        <f t="shared" si="20"/>
        <v>-5616</v>
      </c>
      <c r="M114" s="157">
        <v>5616</v>
      </c>
    </row>
    <row r="115" spans="1:13" s="67" customFormat="1" ht="15.75" customHeight="1" x14ac:dyDescent="0.2">
      <c r="A115" s="48">
        <v>13</v>
      </c>
      <c r="B115" s="166" t="s">
        <v>692</v>
      </c>
      <c r="C115" s="166" t="s">
        <v>691</v>
      </c>
      <c r="D115" s="157">
        <v>2000</v>
      </c>
      <c r="E115" s="157">
        <f>+'SMT KIT Rcvd '!D114</f>
        <v>0</v>
      </c>
      <c r="F115" s="157">
        <f>+'Excise Dispatch '!D114</f>
        <v>0</v>
      </c>
      <c r="G115" s="157">
        <f>+'PACK Prod'!D114</f>
        <v>0</v>
      </c>
      <c r="H115" s="157">
        <f t="shared" si="17"/>
        <v>2000</v>
      </c>
      <c r="I115" s="158">
        <f t="shared" si="18"/>
        <v>2000</v>
      </c>
      <c r="J115" s="157">
        <f t="shared" si="19"/>
        <v>0</v>
      </c>
      <c r="K115" s="157">
        <v>0</v>
      </c>
      <c r="L115" s="159">
        <f t="shared" si="20"/>
        <v>-2000</v>
      </c>
      <c r="M115" s="157">
        <v>2000</v>
      </c>
    </row>
    <row r="116" spans="1:13" s="67" customFormat="1" ht="15.75" customHeight="1" x14ac:dyDescent="0.2">
      <c r="A116" s="48">
        <v>14</v>
      </c>
      <c r="B116" s="166" t="s">
        <v>461</v>
      </c>
      <c r="C116" s="166" t="s">
        <v>460</v>
      </c>
      <c r="D116" s="157">
        <v>6528</v>
      </c>
      <c r="E116" s="157">
        <f>+'SMT KIT Rcvd '!D115</f>
        <v>0</v>
      </c>
      <c r="F116" s="157">
        <f>+'Excise Dispatch '!D115</f>
        <v>0</v>
      </c>
      <c r="G116" s="157">
        <f>+'PACK Prod'!D115</f>
        <v>0</v>
      </c>
      <c r="H116" s="157">
        <f t="shared" si="17"/>
        <v>6528</v>
      </c>
      <c r="I116" s="158">
        <f t="shared" si="18"/>
        <v>6528</v>
      </c>
      <c r="J116" s="157">
        <f t="shared" si="19"/>
        <v>0</v>
      </c>
      <c r="K116" s="157">
        <v>0</v>
      </c>
      <c r="L116" s="159">
        <f t="shared" si="20"/>
        <v>-6528</v>
      </c>
      <c r="M116" s="157">
        <v>6528</v>
      </c>
    </row>
    <row r="117" spans="1:13" s="67" customFormat="1" ht="15.75" customHeight="1" x14ac:dyDescent="0.2">
      <c r="A117" s="48">
        <v>15</v>
      </c>
      <c r="B117" s="176" t="s">
        <v>1196</v>
      </c>
      <c r="C117" s="176" t="s">
        <v>1195</v>
      </c>
      <c r="D117" s="157">
        <v>0</v>
      </c>
      <c r="E117" s="157">
        <f>+'SMT KIT Rcvd '!D116</f>
        <v>20000</v>
      </c>
      <c r="F117" s="157">
        <f>+'Excise Dispatch '!D116</f>
        <v>20000</v>
      </c>
      <c r="G117" s="157">
        <f>+'PACK Prod'!D116</f>
        <v>20000</v>
      </c>
      <c r="H117" s="157">
        <f t="shared" si="17"/>
        <v>0</v>
      </c>
      <c r="I117" s="158">
        <f t="shared" si="18"/>
        <v>0</v>
      </c>
      <c r="J117" s="157">
        <f t="shared" si="19"/>
        <v>0</v>
      </c>
      <c r="K117" s="157">
        <v>20000</v>
      </c>
      <c r="L117" s="159">
        <f t="shared" si="20"/>
        <v>0</v>
      </c>
      <c r="M117" s="157">
        <v>0</v>
      </c>
    </row>
    <row r="118" spans="1:13" s="67" customFormat="1" ht="15.75" customHeight="1" x14ac:dyDescent="0.2">
      <c r="A118" s="48">
        <v>16</v>
      </c>
      <c r="B118" s="166" t="s">
        <v>443</v>
      </c>
      <c r="C118" s="166" t="s">
        <v>442</v>
      </c>
      <c r="D118" s="157">
        <v>624</v>
      </c>
      <c r="E118" s="157">
        <f>+'SMT KIT Rcvd '!D117</f>
        <v>0</v>
      </c>
      <c r="F118" s="157">
        <f>+'Excise Dispatch '!D117</f>
        <v>0</v>
      </c>
      <c r="G118" s="157">
        <f>+'PACK Prod'!D117</f>
        <v>0</v>
      </c>
      <c r="H118" s="157">
        <f t="shared" si="17"/>
        <v>624</v>
      </c>
      <c r="I118" s="158">
        <f t="shared" si="18"/>
        <v>624</v>
      </c>
      <c r="J118" s="157">
        <f t="shared" si="19"/>
        <v>0</v>
      </c>
      <c r="K118" s="157">
        <v>0</v>
      </c>
      <c r="L118" s="159">
        <f t="shared" si="20"/>
        <v>-624</v>
      </c>
      <c r="M118" s="157">
        <v>624</v>
      </c>
    </row>
    <row r="119" spans="1:13" s="67" customFormat="1" ht="15.75" customHeight="1" x14ac:dyDescent="0.2">
      <c r="A119" s="48">
        <v>17</v>
      </c>
      <c r="B119" s="166" t="s">
        <v>281</v>
      </c>
      <c r="C119" s="166" t="s">
        <v>282</v>
      </c>
      <c r="D119" s="157">
        <v>14000</v>
      </c>
      <c r="E119" s="157">
        <f>+'SMT KIT Rcvd '!D118</f>
        <v>22000</v>
      </c>
      <c r="F119" s="157">
        <f>+'Excise Dispatch '!D118</f>
        <v>36000</v>
      </c>
      <c r="G119" s="157">
        <f>+'PACK Prod'!D118</f>
        <v>22000</v>
      </c>
      <c r="H119" s="157">
        <f t="shared" si="17"/>
        <v>0</v>
      </c>
      <c r="I119" s="158">
        <f t="shared" si="18"/>
        <v>0</v>
      </c>
      <c r="J119" s="157">
        <f t="shared" si="19"/>
        <v>0</v>
      </c>
      <c r="K119" s="157">
        <v>22000</v>
      </c>
      <c r="L119" s="159">
        <f t="shared" si="20"/>
        <v>-14000</v>
      </c>
      <c r="M119" s="157">
        <v>14000</v>
      </c>
    </row>
    <row r="120" spans="1:13" s="67" customFormat="1" ht="15.75" customHeight="1" x14ac:dyDescent="0.2">
      <c r="A120" s="48">
        <v>18</v>
      </c>
      <c r="B120" s="166" t="s">
        <v>465</v>
      </c>
      <c r="C120" s="166" t="s">
        <v>464</v>
      </c>
      <c r="D120" s="157">
        <f>396400+3610</f>
        <v>400010</v>
      </c>
      <c r="E120" s="157">
        <f>+'SMT KIT Rcvd '!D119</f>
        <v>1025000</v>
      </c>
      <c r="F120" s="157">
        <f>+'Excise Dispatch '!D119</f>
        <v>1416510</v>
      </c>
      <c r="G120" s="157">
        <f>+'PACK Prod'!D119</f>
        <v>1414274</v>
      </c>
      <c r="H120" s="157">
        <f t="shared" si="17"/>
        <v>8500</v>
      </c>
      <c r="I120" s="158">
        <f t="shared" si="18"/>
        <v>8500</v>
      </c>
      <c r="J120" s="157">
        <f t="shared" si="19"/>
        <v>0</v>
      </c>
      <c r="K120" s="157">
        <v>1025000</v>
      </c>
      <c r="L120" s="159">
        <f t="shared" si="20"/>
        <v>-400010</v>
      </c>
      <c r="M120" s="157">
        <v>10736</v>
      </c>
    </row>
    <row r="121" spans="1:13" s="67" customFormat="1" ht="15.75" customHeight="1" x14ac:dyDescent="0.2">
      <c r="A121" s="48">
        <v>19</v>
      </c>
      <c r="B121" s="166" t="s">
        <v>804</v>
      </c>
      <c r="C121" s="166" t="s">
        <v>803</v>
      </c>
      <c r="D121" s="157">
        <v>0</v>
      </c>
      <c r="E121" s="157">
        <f>+'SMT KIT Rcvd '!D120</f>
        <v>15000</v>
      </c>
      <c r="F121" s="157">
        <f>+'Excise Dispatch '!D120</f>
        <v>15000</v>
      </c>
      <c r="G121" s="157">
        <f>+'PACK Prod'!D120</f>
        <v>15000</v>
      </c>
      <c r="H121" s="157">
        <f t="shared" si="17"/>
        <v>0</v>
      </c>
      <c r="I121" s="158">
        <f t="shared" si="18"/>
        <v>0</v>
      </c>
      <c r="J121" s="157">
        <f t="shared" si="19"/>
        <v>0</v>
      </c>
      <c r="K121" s="157">
        <v>15000</v>
      </c>
      <c r="L121" s="159">
        <f t="shared" si="20"/>
        <v>0</v>
      </c>
      <c r="M121" s="157">
        <v>0</v>
      </c>
    </row>
    <row r="122" spans="1:13" s="67" customFormat="1" ht="15.75" customHeight="1" x14ac:dyDescent="0.2">
      <c r="A122" s="48">
        <v>20</v>
      </c>
      <c r="B122" s="166" t="s">
        <v>272</v>
      </c>
      <c r="C122" s="166" t="s">
        <v>271</v>
      </c>
      <c r="D122" s="157">
        <v>520</v>
      </c>
      <c r="E122" s="157">
        <f>+'SMT KIT Rcvd '!D121</f>
        <v>11000</v>
      </c>
      <c r="F122" s="157">
        <f>+'Excise Dispatch '!D121</f>
        <v>11520</v>
      </c>
      <c r="G122" s="157">
        <f>+'PACK Prod'!D121</f>
        <v>11000</v>
      </c>
      <c r="H122" s="157">
        <f t="shared" si="17"/>
        <v>0</v>
      </c>
      <c r="I122" s="158">
        <f t="shared" si="18"/>
        <v>0</v>
      </c>
      <c r="J122" s="157">
        <f t="shared" si="19"/>
        <v>0</v>
      </c>
      <c r="K122" s="157">
        <v>11000</v>
      </c>
      <c r="L122" s="159">
        <f t="shared" si="20"/>
        <v>-520</v>
      </c>
      <c r="M122" s="157">
        <v>520</v>
      </c>
    </row>
    <row r="123" spans="1:13" s="67" customFormat="1" ht="15.75" customHeight="1" x14ac:dyDescent="0.2">
      <c r="A123" s="48">
        <v>21</v>
      </c>
      <c r="B123" s="176" t="s">
        <v>1131</v>
      </c>
      <c r="C123" s="176" t="s">
        <v>1129</v>
      </c>
      <c r="D123" s="157">
        <v>0</v>
      </c>
      <c r="E123" s="157">
        <f>+'SMT KIT Rcvd '!D122</f>
        <v>2000</v>
      </c>
      <c r="F123" s="157">
        <f>+'Excise Dispatch '!D122</f>
        <v>2000</v>
      </c>
      <c r="G123" s="157">
        <f>+'PACK Prod'!D122</f>
        <v>2000</v>
      </c>
      <c r="H123" s="157">
        <f t="shared" si="17"/>
        <v>0</v>
      </c>
      <c r="I123" s="158">
        <f t="shared" si="18"/>
        <v>0</v>
      </c>
      <c r="J123" s="157">
        <f t="shared" si="19"/>
        <v>0</v>
      </c>
      <c r="K123" s="157">
        <v>2000</v>
      </c>
      <c r="L123" s="159">
        <f t="shared" si="20"/>
        <v>0</v>
      </c>
      <c r="M123" s="157">
        <v>0</v>
      </c>
    </row>
    <row r="124" spans="1:13" s="67" customFormat="1" ht="15.75" customHeight="1" x14ac:dyDescent="0.2">
      <c r="A124" s="48">
        <v>22</v>
      </c>
      <c r="B124" s="176" t="s">
        <v>1132</v>
      </c>
      <c r="C124" s="176" t="s">
        <v>1130</v>
      </c>
      <c r="D124" s="157">
        <v>0</v>
      </c>
      <c r="E124" s="157">
        <f>+'SMT KIT Rcvd '!D123</f>
        <v>5000</v>
      </c>
      <c r="F124" s="157">
        <f>+'Excise Dispatch '!D123</f>
        <v>5000</v>
      </c>
      <c r="G124" s="157">
        <f>+'PACK Prod'!D123</f>
        <v>5000</v>
      </c>
      <c r="H124" s="157">
        <f t="shared" si="17"/>
        <v>0</v>
      </c>
      <c r="I124" s="158">
        <f t="shared" si="18"/>
        <v>0</v>
      </c>
      <c r="J124" s="157">
        <f t="shared" si="19"/>
        <v>0</v>
      </c>
      <c r="K124" s="157">
        <v>5000</v>
      </c>
      <c r="L124" s="159">
        <f t="shared" si="20"/>
        <v>0</v>
      </c>
      <c r="M124" s="157">
        <v>0</v>
      </c>
    </row>
    <row r="125" spans="1:13" s="67" customFormat="1" ht="15.75" customHeight="1" x14ac:dyDescent="0.2">
      <c r="A125" s="48">
        <v>23</v>
      </c>
      <c r="B125" s="166" t="s">
        <v>435</v>
      </c>
      <c r="C125" s="166" t="s">
        <v>434</v>
      </c>
      <c r="D125" s="157">
        <v>5024</v>
      </c>
      <c r="E125" s="157">
        <f>+'SMT KIT Rcvd '!D124</f>
        <v>48632</v>
      </c>
      <c r="F125" s="157">
        <f>+'Excise Dispatch '!D124</f>
        <v>43624</v>
      </c>
      <c r="G125" s="157">
        <f>+'PACK Prod'!D124</f>
        <v>48632</v>
      </c>
      <c r="H125" s="157">
        <f t="shared" si="17"/>
        <v>10032</v>
      </c>
      <c r="I125" s="158">
        <f t="shared" si="18"/>
        <v>10032</v>
      </c>
      <c r="J125" s="157">
        <f t="shared" si="19"/>
        <v>0</v>
      </c>
      <c r="K125" s="157">
        <v>48632</v>
      </c>
      <c r="L125" s="159">
        <f t="shared" si="20"/>
        <v>-5024</v>
      </c>
      <c r="M125" s="157">
        <f>4984+40</f>
        <v>5024</v>
      </c>
    </row>
    <row r="126" spans="1:13" s="67" customFormat="1" ht="15.75" customHeight="1" x14ac:dyDescent="0.2">
      <c r="A126" s="48">
        <v>24</v>
      </c>
      <c r="B126" s="166" t="s">
        <v>240</v>
      </c>
      <c r="C126" s="166" t="s">
        <v>239</v>
      </c>
      <c r="D126" s="157">
        <v>1000</v>
      </c>
      <c r="E126" s="157">
        <f>+'SMT KIT Rcvd '!D125</f>
        <v>10000</v>
      </c>
      <c r="F126" s="157">
        <f>+'Excise Dispatch '!D125</f>
        <v>11000</v>
      </c>
      <c r="G126" s="157">
        <f>+'PACK Prod'!D125</f>
        <v>10000</v>
      </c>
      <c r="H126" s="157">
        <f t="shared" si="17"/>
        <v>0</v>
      </c>
      <c r="I126" s="158">
        <f t="shared" si="18"/>
        <v>0</v>
      </c>
      <c r="J126" s="157">
        <f t="shared" si="19"/>
        <v>0</v>
      </c>
      <c r="K126" s="157">
        <v>10000</v>
      </c>
      <c r="L126" s="159">
        <f t="shared" si="20"/>
        <v>-1000</v>
      </c>
      <c r="M126" s="157">
        <v>1000</v>
      </c>
    </row>
    <row r="127" spans="1:13" s="67" customFormat="1" ht="15.75" customHeight="1" x14ac:dyDescent="0.2">
      <c r="A127" s="48">
        <v>25</v>
      </c>
      <c r="B127" s="166" t="s">
        <v>148</v>
      </c>
      <c r="C127" s="166" t="s">
        <v>110</v>
      </c>
      <c r="D127" s="157">
        <v>8</v>
      </c>
      <c r="E127" s="157">
        <f>+'SMT KIT Rcvd '!D126</f>
        <v>5000</v>
      </c>
      <c r="F127" s="157">
        <f>+'Excise Dispatch '!D126</f>
        <v>5000</v>
      </c>
      <c r="G127" s="157">
        <f>+'PACK Prod'!D126</f>
        <v>5000</v>
      </c>
      <c r="H127" s="157">
        <f t="shared" si="17"/>
        <v>8</v>
      </c>
      <c r="I127" s="158">
        <f t="shared" si="18"/>
        <v>8</v>
      </c>
      <c r="J127" s="157">
        <f t="shared" si="19"/>
        <v>0</v>
      </c>
      <c r="K127" s="157">
        <v>5000</v>
      </c>
      <c r="L127" s="159">
        <f t="shared" si="20"/>
        <v>-8</v>
      </c>
      <c r="M127" s="157">
        <v>8</v>
      </c>
    </row>
    <row r="128" spans="1:13" s="67" customFormat="1" ht="15.75" customHeight="1" x14ac:dyDescent="0.2">
      <c r="A128" s="48">
        <v>26</v>
      </c>
      <c r="B128" s="166" t="s">
        <v>303</v>
      </c>
      <c r="C128" s="166" t="s">
        <v>302</v>
      </c>
      <c r="D128" s="157">
        <v>6200</v>
      </c>
      <c r="E128" s="157">
        <f>+'SMT KIT Rcvd '!D127</f>
        <v>0</v>
      </c>
      <c r="F128" s="157">
        <f>+'Excise Dispatch '!D127</f>
        <v>0</v>
      </c>
      <c r="G128" s="157">
        <f>+'PACK Prod'!D127</f>
        <v>0</v>
      </c>
      <c r="H128" s="157">
        <f t="shared" si="17"/>
        <v>6200</v>
      </c>
      <c r="I128" s="158">
        <f t="shared" si="18"/>
        <v>6200</v>
      </c>
      <c r="J128" s="157">
        <f t="shared" si="19"/>
        <v>0</v>
      </c>
      <c r="K128" s="157">
        <v>0</v>
      </c>
      <c r="L128" s="159">
        <f t="shared" si="20"/>
        <v>-6200</v>
      </c>
      <c r="M128" s="157">
        <v>6200</v>
      </c>
    </row>
    <row r="129" spans="1:13" s="67" customFormat="1" ht="15.75" customHeight="1" x14ac:dyDescent="0.2">
      <c r="A129" s="48">
        <v>27</v>
      </c>
      <c r="B129" s="166" t="s">
        <v>149</v>
      </c>
      <c r="C129" s="166" t="s">
        <v>111</v>
      </c>
      <c r="D129" s="157">
        <v>2553</v>
      </c>
      <c r="E129" s="157">
        <f>+'SMT KIT Rcvd '!D128</f>
        <v>0</v>
      </c>
      <c r="F129" s="157">
        <f>+'Excise Dispatch '!D128</f>
        <v>0</v>
      </c>
      <c r="G129" s="157">
        <f>+'PACK Prod'!D128</f>
        <v>0</v>
      </c>
      <c r="H129" s="157">
        <f t="shared" si="17"/>
        <v>2553</v>
      </c>
      <c r="I129" s="158">
        <f t="shared" si="18"/>
        <v>2553</v>
      </c>
      <c r="J129" s="157">
        <f t="shared" si="19"/>
        <v>0</v>
      </c>
      <c r="K129" s="157">
        <v>0</v>
      </c>
      <c r="L129" s="159">
        <f t="shared" si="20"/>
        <v>-2553</v>
      </c>
      <c r="M129" s="157">
        <v>2553</v>
      </c>
    </row>
    <row r="130" spans="1:13" s="67" customFormat="1" ht="15.75" customHeight="1" x14ac:dyDescent="0.2">
      <c r="A130" s="48">
        <v>28</v>
      </c>
      <c r="B130" s="166" t="s">
        <v>822</v>
      </c>
      <c r="C130" s="166" t="s">
        <v>821</v>
      </c>
      <c r="D130" s="157">
        <v>0</v>
      </c>
      <c r="E130" s="157">
        <f>+'SMT KIT Rcvd '!D129</f>
        <v>5000</v>
      </c>
      <c r="F130" s="157">
        <f>+'Excise Dispatch '!D129</f>
        <v>5000</v>
      </c>
      <c r="G130" s="157">
        <f>+'PACK Prod'!D129</f>
        <v>5000</v>
      </c>
      <c r="H130" s="157">
        <f t="shared" si="17"/>
        <v>0</v>
      </c>
      <c r="I130" s="158">
        <f t="shared" si="18"/>
        <v>0</v>
      </c>
      <c r="J130" s="157">
        <f t="shared" si="19"/>
        <v>0</v>
      </c>
      <c r="K130" s="157">
        <v>5000</v>
      </c>
      <c r="L130" s="159">
        <f t="shared" si="20"/>
        <v>0</v>
      </c>
      <c r="M130" s="157">
        <v>0</v>
      </c>
    </row>
    <row r="131" spans="1:13" s="67" customFormat="1" ht="15.75" customHeight="1" x14ac:dyDescent="0.2">
      <c r="A131" s="48">
        <v>29</v>
      </c>
      <c r="B131" s="166" t="s">
        <v>150</v>
      </c>
      <c r="C131" s="166" t="s">
        <v>112</v>
      </c>
      <c r="D131" s="157">
        <v>0</v>
      </c>
      <c r="E131" s="157">
        <f>+'SMT KIT Rcvd '!D130</f>
        <v>11900</v>
      </c>
      <c r="F131" s="157">
        <f>+'Excise Dispatch '!D130</f>
        <v>11900</v>
      </c>
      <c r="G131" s="157">
        <f>+'PACK Prod'!D130</f>
        <v>11900</v>
      </c>
      <c r="H131" s="157">
        <f t="shared" si="17"/>
        <v>0</v>
      </c>
      <c r="I131" s="158">
        <f t="shared" si="18"/>
        <v>0</v>
      </c>
      <c r="J131" s="157">
        <f t="shared" si="19"/>
        <v>0</v>
      </c>
      <c r="K131" s="157">
        <v>11900</v>
      </c>
      <c r="L131" s="159">
        <f t="shared" si="20"/>
        <v>0</v>
      </c>
      <c r="M131" s="157">
        <v>0</v>
      </c>
    </row>
    <row r="132" spans="1:13" s="67" customFormat="1" ht="15.75" customHeight="1" x14ac:dyDescent="0.2">
      <c r="A132" s="48">
        <v>30</v>
      </c>
      <c r="B132" s="166" t="s">
        <v>228</v>
      </c>
      <c r="C132" s="166" t="s">
        <v>227</v>
      </c>
      <c r="D132" s="157">
        <v>7976</v>
      </c>
      <c r="E132" s="157">
        <f>+'SMT KIT Rcvd '!D131</f>
        <v>15000</v>
      </c>
      <c r="F132" s="157">
        <f>+'Excise Dispatch '!D131</f>
        <v>22976</v>
      </c>
      <c r="G132" s="157">
        <f>+'PACK Prod'!D131</f>
        <v>14976</v>
      </c>
      <c r="H132" s="157">
        <f t="shared" si="17"/>
        <v>0</v>
      </c>
      <c r="I132" s="158">
        <f t="shared" si="18"/>
        <v>0</v>
      </c>
      <c r="J132" s="157">
        <f t="shared" si="19"/>
        <v>0</v>
      </c>
      <c r="K132" s="157">
        <v>15000</v>
      </c>
      <c r="L132" s="159">
        <f t="shared" si="20"/>
        <v>-7976</v>
      </c>
      <c r="M132" s="157">
        <v>8000</v>
      </c>
    </row>
    <row r="133" spans="1:13" s="67" customFormat="1" ht="15.75" customHeight="1" x14ac:dyDescent="0.2">
      <c r="A133" s="48">
        <v>31</v>
      </c>
      <c r="B133" s="166" t="s">
        <v>248</v>
      </c>
      <c r="C133" s="166" t="s">
        <v>247</v>
      </c>
      <c r="D133" s="157">
        <v>13</v>
      </c>
      <c r="E133" s="157">
        <f>+'SMT KIT Rcvd '!D132</f>
        <v>61320</v>
      </c>
      <c r="F133" s="157">
        <f>+'Excise Dispatch '!D132</f>
        <v>60433</v>
      </c>
      <c r="G133" s="157">
        <f>+'PACK Prod'!D132</f>
        <v>59720</v>
      </c>
      <c r="H133" s="157">
        <f t="shared" si="17"/>
        <v>900</v>
      </c>
      <c r="I133" s="158">
        <f t="shared" si="18"/>
        <v>900</v>
      </c>
      <c r="J133" s="157">
        <f t="shared" si="19"/>
        <v>0</v>
      </c>
      <c r="K133" s="157">
        <v>61320</v>
      </c>
      <c r="L133" s="159">
        <f t="shared" si="20"/>
        <v>-13</v>
      </c>
      <c r="M133" s="157">
        <v>1613</v>
      </c>
    </row>
    <row r="134" spans="1:13" s="67" customFormat="1" ht="15.75" customHeight="1" x14ac:dyDescent="0.2">
      <c r="A134" s="48">
        <v>32</v>
      </c>
      <c r="B134" s="166" t="s">
        <v>694</v>
      </c>
      <c r="C134" s="166" t="s">
        <v>693</v>
      </c>
      <c r="D134" s="157">
        <v>325</v>
      </c>
      <c r="E134" s="157">
        <f>+'SMT KIT Rcvd '!D133</f>
        <v>1600</v>
      </c>
      <c r="F134" s="157">
        <f>+'Excise Dispatch '!D133</f>
        <v>1600</v>
      </c>
      <c r="G134" s="157">
        <f>+'PACK Prod'!D133</f>
        <v>1600</v>
      </c>
      <c r="H134" s="157">
        <f t="shared" si="17"/>
        <v>325</v>
      </c>
      <c r="I134" s="158">
        <f t="shared" si="18"/>
        <v>325</v>
      </c>
      <c r="J134" s="157">
        <f t="shared" si="19"/>
        <v>0</v>
      </c>
      <c r="K134" s="157">
        <v>1600</v>
      </c>
      <c r="L134" s="159">
        <f t="shared" si="20"/>
        <v>-325</v>
      </c>
      <c r="M134" s="157">
        <v>325</v>
      </c>
    </row>
    <row r="135" spans="1:13" s="67" customFormat="1" ht="15.75" customHeight="1" x14ac:dyDescent="0.2">
      <c r="A135" s="48">
        <v>33</v>
      </c>
      <c r="B135" s="166" t="s">
        <v>102</v>
      </c>
      <c r="C135" s="166" t="s">
        <v>354</v>
      </c>
      <c r="D135" s="157">
        <f>2880+112</f>
        <v>2992</v>
      </c>
      <c r="E135" s="157">
        <f>+'SMT KIT Rcvd '!D134</f>
        <v>317700</v>
      </c>
      <c r="F135" s="157">
        <f>+'Excise Dispatch '!D134</f>
        <v>300128</v>
      </c>
      <c r="G135" s="157">
        <f>+'PACK Prod'!D134</f>
        <v>317812</v>
      </c>
      <c r="H135" s="157">
        <f t="shared" si="17"/>
        <v>20564</v>
      </c>
      <c r="I135" s="158">
        <f t="shared" si="18"/>
        <v>20564</v>
      </c>
      <c r="J135" s="157">
        <f t="shared" si="19"/>
        <v>0</v>
      </c>
      <c r="K135" s="157">
        <v>317700</v>
      </c>
      <c r="L135" s="159">
        <f t="shared" si="20"/>
        <v>-2992</v>
      </c>
      <c r="M135" s="157">
        <v>2880</v>
      </c>
    </row>
    <row r="136" spans="1:13" s="67" customFormat="1" ht="15.75" customHeight="1" x14ac:dyDescent="0.2">
      <c r="A136" s="48">
        <v>34</v>
      </c>
      <c r="B136" s="166" t="s">
        <v>467</v>
      </c>
      <c r="C136" s="166" t="s">
        <v>466</v>
      </c>
      <c r="D136" s="157">
        <v>0</v>
      </c>
      <c r="E136" s="157">
        <f>+'SMT KIT Rcvd '!D135</f>
        <v>15000</v>
      </c>
      <c r="F136" s="157">
        <f>+'Excise Dispatch '!D135</f>
        <v>15000</v>
      </c>
      <c r="G136" s="157">
        <f>+'PACK Prod'!D135</f>
        <v>15000</v>
      </c>
      <c r="H136" s="157">
        <f t="shared" si="17"/>
        <v>0</v>
      </c>
      <c r="I136" s="158">
        <f t="shared" si="18"/>
        <v>0</v>
      </c>
      <c r="J136" s="157">
        <f t="shared" si="19"/>
        <v>0</v>
      </c>
      <c r="K136" s="157">
        <v>15000</v>
      </c>
      <c r="L136" s="159">
        <f t="shared" si="20"/>
        <v>0</v>
      </c>
      <c r="M136" s="157">
        <v>0</v>
      </c>
    </row>
    <row r="137" spans="1:13" s="67" customFormat="1" ht="15.75" customHeight="1" x14ac:dyDescent="0.2">
      <c r="A137" s="48">
        <v>35</v>
      </c>
      <c r="B137" s="166" t="s">
        <v>274</v>
      </c>
      <c r="C137" s="166" t="s">
        <v>273</v>
      </c>
      <c r="D137" s="157">
        <v>0</v>
      </c>
      <c r="E137" s="157">
        <f>+'SMT KIT Rcvd '!D136</f>
        <v>200000</v>
      </c>
      <c r="F137" s="157">
        <f>+'Excise Dispatch '!D136</f>
        <v>200000</v>
      </c>
      <c r="G137" s="157">
        <f>+'PACK Prod'!D136</f>
        <v>200000</v>
      </c>
      <c r="H137" s="157">
        <f t="shared" si="17"/>
        <v>0</v>
      </c>
      <c r="I137" s="158">
        <f t="shared" si="18"/>
        <v>0</v>
      </c>
      <c r="J137" s="157">
        <f t="shared" si="19"/>
        <v>0</v>
      </c>
      <c r="K137" s="157">
        <v>200000</v>
      </c>
      <c r="L137" s="159">
        <f t="shared" si="20"/>
        <v>0</v>
      </c>
      <c r="M137" s="157">
        <v>0</v>
      </c>
    </row>
    <row r="138" spans="1:13" s="67" customFormat="1" ht="15.75" customHeight="1" x14ac:dyDescent="0.2">
      <c r="A138" s="48">
        <v>36</v>
      </c>
      <c r="B138" s="166" t="s">
        <v>764</v>
      </c>
      <c r="C138" s="166" t="s">
        <v>763</v>
      </c>
      <c r="D138" s="157">
        <v>5000</v>
      </c>
      <c r="E138" s="157">
        <f>+'SMT KIT Rcvd '!D137</f>
        <v>45000</v>
      </c>
      <c r="F138" s="157">
        <f>+'Excise Dispatch '!D137</f>
        <v>50000</v>
      </c>
      <c r="G138" s="157">
        <f>+'PACK Prod'!D137</f>
        <v>45000</v>
      </c>
      <c r="H138" s="157">
        <f t="shared" si="17"/>
        <v>0</v>
      </c>
      <c r="I138" s="158">
        <f t="shared" si="18"/>
        <v>0</v>
      </c>
      <c r="J138" s="157">
        <f t="shared" si="19"/>
        <v>0</v>
      </c>
      <c r="K138" s="157">
        <v>45000</v>
      </c>
      <c r="L138" s="159">
        <f t="shared" si="20"/>
        <v>-5000</v>
      </c>
      <c r="M138" s="157">
        <v>5000</v>
      </c>
    </row>
    <row r="139" spans="1:13" s="67" customFormat="1" ht="15.75" customHeight="1" x14ac:dyDescent="0.2">
      <c r="A139" s="48">
        <v>37</v>
      </c>
      <c r="B139" s="166" t="s">
        <v>151</v>
      </c>
      <c r="C139" s="166" t="s">
        <v>96</v>
      </c>
      <c r="D139" s="157">
        <v>0</v>
      </c>
      <c r="E139" s="157">
        <f>+'SMT KIT Rcvd '!D138</f>
        <v>65000</v>
      </c>
      <c r="F139" s="157">
        <f>+'Excise Dispatch '!D138</f>
        <v>65000</v>
      </c>
      <c r="G139" s="157">
        <f>+'PACK Prod'!D138</f>
        <v>65000</v>
      </c>
      <c r="H139" s="157">
        <f t="shared" si="17"/>
        <v>0</v>
      </c>
      <c r="I139" s="158">
        <f t="shared" si="18"/>
        <v>0</v>
      </c>
      <c r="J139" s="157">
        <f t="shared" si="19"/>
        <v>0</v>
      </c>
      <c r="K139" s="157">
        <v>65000</v>
      </c>
      <c r="L139" s="159">
        <f t="shared" si="20"/>
        <v>0</v>
      </c>
      <c r="M139" s="157">
        <v>0</v>
      </c>
    </row>
    <row r="140" spans="1:13" s="67" customFormat="1" ht="15.75" customHeight="1" x14ac:dyDescent="0.2">
      <c r="A140" s="48">
        <v>38</v>
      </c>
      <c r="B140" s="166" t="s">
        <v>758</v>
      </c>
      <c r="C140" s="166" t="s">
        <v>757</v>
      </c>
      <c r="D140" s="157">
        <v>0</v>
      </c>
      <c r="E140" s="157">
        <f>+'SMT KIT Rcvd '!D139</f>
        <v>2000</v>
      </c>
      <c r="F140" s="157">
        <f>+'Excise Dispatch '!D139</f>
        <v>2000</v>
      </c>
      <c r="G140" s="157">
        <f>+'PACK Prod'!D139</f>
        <v>2000</v>
      </c>
      <c r="H140" s="157">
        <f t="shared" si="17"/>
        <v>0</v>
      </c>
      <c r="I140" s="158">
        <f t="shared" si="18"/>
        <v>0</v>
      </c>
      <c r="J140" s="157">
        <f t="shared" si="19"/>
        <v>0</v>
      </c>
      <c r="K140" s="157">
        <v>2000</v>
      </c>
      <c r="L140" s="159">
        <f t="shared" si="20"/>
        <v>0</v>
      </c>
      <c r="M140" s="157">
        <v>0</v>
      </c>
    </row>
    <row r="141" spans="1:13" s="67" customFormat="1" ht="15.75" customHeight="1" x14ac:dyDescent="0.2">
      <c r="A141" s="48">
        <v>39</v>
      </c>
      <c r="B141" s="176" t="s">
        <v>1216</v>
      </c>
      <c r="C141" s="176" t="s">
        <v>1215</v>
      </c>
      <c r="D141" s="157">
        <v>0</v>
      </c>
      <c r="E141" s="157">
        <f>+'SMT KIT Rcvd '!D140</f>
        <v>10000</v>
      </c>
      <c r="F141" s="157">
        <f>+'Excise Dispatch '!D140</f>
        <v>10000</v>
      </c>
      <c r="G141" s="157">
        <f>+'PACK Prod'!D140</f>
        <v>10000</v>
      </c>
      <c r="H141" s="157">
        <f t="shared" si="17"/>
        <v>0</v>
      </c>
      <c r="I141" s="158">
        <f t="shared" si="18"/>
        <v>0</v>
      </c>
      <c r="J141" s="157">
        <f t="shared" si="19"/>
        <v>0</v>
      </c>
      <c r="K141" s="157">
        <v>10000</v>
      </c>
      <c r="L141" s="159">
        <f t="shared" si="20"/>
        <v>0</v>
      </c>
      <c r="M141" s="157">
        <v>0</v>
      </c>
    </row>
    <row r="142" spans="1:13" s="67" customFormat="1" ht="15.75" customHeight="1" x14ac:dyDescent="0.2">
      <c r="A142" s="48">
        <v>40</v>
      </c>
      <c r="B142" s="166" t="s">
        <v>813</v>
      </c>
      <c r="C142" s="166" t="s">
        <v>811</v>
      </c>
      <c r="D142" s="157">
        <v>0</v>
      </c>
      <c r="E142" s="157">
        <f>+'SMT KIT Rcvd '!D141</f>
        <v>10000</v>
      </c>
      <c r="F142" s="157">
        <f>+'Excise Dispatch '!D141</f>
        <v>10000</v>
      </c>
      <c r="G142" s="157">
        <f>+'PACK Prod'!D141</f>
        <v>10000</v>
      </c>
      <c r="H142" s="157">
        <f t="shared" si="17"/>
        <v>0</v>
      </c>
      <c r="I142" s="158">
        <f t="shared" si="18"/>
        <v>0</v>
      </c>
      <c r="J142" s="157">
        <f t="shared" si="19"/>
        <v>0</v>
      </c>
      <c r="K142" s="157">
        <v>10000</v>
      </c>
      <c r="L142" s="159">
        <f t="shared" si="20"/>
        <v>0</v>
      </c>
      <c r="M142" s="157">
        <v>0</v>
      </c>
    </row>
    <row r="143" spans="1:13" s="67" customFormat="1" ht="15.75" customHeight="1" x14ac:dyDescent="0.2">
      <c r="A143" s="48">
        <v>41</v>
      </c>
      <c r="B143" s="166" t="s">
        <v>813</v>
      </c>
      <c r="C143" s="166" t="s">
        <v>812</v>
      </c>
      <c r="D143" s="157">
        <v>12000</v>
      </c>
      <c r="E143" s="157">
        <f>+'SMT KIT Rcvd '!D142</f>
        <v>0</v>
      </c>
      <c r="F143" s="157">
        <f>+'Excise Dispatch '!D142</f>
        <v>12000</v>
      </c>
      <c r="G143" s="157">
        <f>+'PACK Prod'!D142</f>
        <v>0</v>
      </c>
      <c r="H143" s="157">
        <f t="shared" si="17"/>
        <v>0</v>
      </c>
      <c r="I143" s="158">
        <f t="shared" si="18"/>
        <v>0</v>
      </c>
      <c r="J143" s="157">
        <f t="shared" si="19"/>
        <v>0</v>
      </c>
      <c r="K143" s="157">
        <v>0</v>
      </c>
      <c r="L143" s="159">
        <f t="shared" si="20"/>
        <v>-12000</v>
      </c>
      <c r="M143" s="157">
        <v>12000</v>
      </c>
    </row>
    <row r="144" spans="1:13" s="67" customFormat="1" ht="15.75" customHeight="1" x14ac:dyDescent="0.2">
      <c r="A144" s="48">
        <v>42</v>
      </c>
      <c r="B144" s="166" t="s">
        <v>264</v>
      </c>
      <c r="C144" s="166" t="s">
        <v>263</v>
      </c>
      <c r="D144" s="157">
        <v>2748</v>
      </c>
      <c r="E144" s="157">
        <f>+'SMT KIT Rcvd '!D143</f>
        <v>0</v>
      </c>
      <c r="F144" s="157">
        <f>+'Excise Dispatch '!D143</f>
        <v>0</v>
      </c>
      <c r="G144" s="157">
        <f>+'PACK Prod'!D143</f>
        <v>0</v>
      </c>
      <c r="H144" s="157">
        <f t="shared" si="17"/>
        <v>2748</v>
      </c>
      <c r="I144" s="158">
        <f t="shared" si="18"/>
        <v>2748</v>
      </c>
      <c r="J144" s="157">
        <f t="shared" si="19"/>
        <v>0</v>
      </c>
      <c r="K144" s="157">
        <v>0</v>
      </c>
      <c r="L144" s="159">
        <f t="shared" si="20"/>
        <v>-2748</v>
      </c>
      <c r="M144" s="157">
        <v>2748</v>
      </c>
    </row>
    <row r="145" spans="1:13" s="153" customFormat="1" ht="14.25" customHeight="1" x14ac:dyDescent="0.2">
      <c r="A145" s="151" t="s">
        <v>140</v>
      </c>
      <c r="B145" s="154" t="s">
        <v>123</v>
      </c>
      <c r="C145" s="162" t="s">
        <v>141</v>
      </c>
      <c r="D145" s="164">
        <f t="shared" ref="D145:M145" si="21">SUM(D146:D303)</f>
        <v>21621</v>
      </c>
      <c r="E145" s="164">
        <f t="shared" si="21"/>
        <v>404902</v>
      </c>
      <c r="F145" s="164">
        <f t="shared" si="21"/>
        <v>424638</v>
      </c>
      <c r="G145" s="164">
        <f t="shared" si="21"/>
        <v>420544</v>
      </c>
      <c r="H145" s="164">
        <f t="shared" si="21"/>
        <v>1885</v>
      </c>
      <c r="I145" s="164">
        <f t="shared" si="21"/>
        <v>1885</v>
      </c>
      <c r="J145" s="164">
        <f t="shared" si="21"/>
        <v>0</v>
      </c>
      <c r="K145" s="164">
        <f t="shared" si="21"/>
        <v>404902</v>
      </c>
      <c r="L145" s="164">
        <f t="shared" si="21"/>
        <v>-21621</v>
      </c>
      <c r="M145" s="164">
        <f t="shared" si="21"/>
        <v>5979</v>
      </c>
    </row>
    <row r="146" spans="1:13" s="67" customFormat="1" ht="15.75" customHeight="1" x14ac:dyDescent="0.2">
      <c r="A146" s="48">
        <v>1</v>
      </c>
      <c r="B146" s="166" t="s">
        <v>547</v>
      </c>
      <c r="C146" s="166" t="s">
        <v>546</v>
      </c>
      <c r="D146" s="157">
        <v>400</v>
      </c>
      <c r="E146" s="157">
        <f>+'SMT KIT Rcvd '!D145</f>
        <v>0</v>
      </c>
      <c r="F146" s="157">
        <f>'Excise Dispatch '!D145</f>
        <v>400</v>
      </c>
      <c r="G146" s="157">
        <f>+'PACK Prod'!D145</f>
        <v>400</v>
      </c>
      <c r="H146" s="157">
        <f t="shared" ref="H146:H219" si="22">D146+E146-F146</f>
        <v>0</v>
      </c>
      <c r="I146" s="158">
        <f t="shared" ref="I146:I219" si="23">G146+M146-F146</f>
        <v>0</v>
      </c>
      <c r="J146" s="157">
        <f t="shared" ref="J146:J263" si="24">+H146-I146</f>
        <v>0</v>
      </c>
      <c r="K146" s="157">
        <v>0</v>
      </c>
      <c r="L146" s="159">
        <f t="shared" ref="L146:L222" si="25">K146-D146-E146</f>
        <v>-400</v>
      </c>
      <c r="M146" s="157">
        <v>0</v>
      </c>
    </row>
    <row r="147" spans="1:13" s="67" customFormat="1" ht="15.75" customHeight="1" x14ac:dyDescent="0.2">
      <c r="A147" s="48">
        <v>2</v>
      </c>
      <c r="B147" s="166" t="s">
        <v>863</v>
      </c>
      <c r="C147" s="166" t="s">
        <v>862</v>
      </c>
      <c r="D147" s="157">
        <v>0</v>
      </c>
      <c r="E147" s="157">
        <f>+'SMT KIT Rcvd '!D146</f>
        <v>0</v>
      </c>
      <c r="F147" s="157">
        <f>'Excise Dispatch '!D146</f>
        <v>0</v>
      </c>
      <c r="G147" s="157">
        <f>+'PACK Prod'!D146</f>
        <v>0</v>
      </c>
      <c r="H147" s="157">
        <f t="shared" si="22"/>
        <v>0</v>
      </c>
      <c r="I147" s="158">
        <f t="shared" si="23"/>
        <v>0</v>
      </c>
      <c r="J147" s="157">
        <f t="shared" si="24"/>
        <v>0</v>
      </c>
      <c r="K147" s="157">
        <v>0</v>
      </c>
      <c r="L147" s="159">
        <f t="shared" si="25"/>
        <v>0</v>
      </c>
      <c r="M147" s="157">
        <v>0</v>
      </c>
    </row>
    <row r="148" spans="1:13" s="67" customFormat="1" ht="15.75" customHeight="1" x14ac:dyDescent="0.2">
      <c r="A148" s="48">
        <v>3</v>
      </c>
      <c r="B148" s="166" t="s">
        <v>557</v>
      </c>
      <c r="C148" s="166" t="s">
        <v>556</v>
      </c>
      <c r="D148" s="157">
        <v>0</v>
      </c>
      <c r="E148" s="157">
        <f>+'SMT KIT Rcvd '!D147</f>
        <v>2500</v>
      </c>
      <c r="F148" s="157">
        <f>'Excise Dispatch '!D147</f>
        <v>2500</v>
      </c>
      <c r="G148" s="157">
        <f>+'PACK Prod'!D147</f>
        <v>2500</v>
      </c>
      <c r="H148" s="157">
        <f t="shared" si="22"/>
        <v>0</v>
      </c>
      <c r="I148" s="158">
        <f t="shared" si="23"/>
        <v>0</v>
      </c>
      <c r="J148" s="157">
        <f t="shared" si="24"/>
        <v>0</v>
      </c>
      <c r="K148" s="157">
        <v>2500</v>
      </c>
      <c r="L148" s="159">
        <f t="shared" si="25"/>
        <v>0</v>
      </c>
      <c r="M148" s="157">
        <v>0</v>
      </c>
    </row>
    <row r="149" spans="1:13" s="67" customFormat="1" ht="15.75" customHeight="1" x14ac:dyDescent="0.2">
      <c r="A149" s="48">
        <v>4</v>
      </c>
      <c r="B149" s="166" t="s">
        <v>555</v>
      </c>
      <c r="C149" s="166" t="s">
        <v>554</v>
      </c>
      <c r="D149" s="157">
        <v>0</v>
      </c>
      <c r="E149" s="157">
        <f>+'SMT KIT Rcvd '!D148</f>
        <v>0</v>
      </c>
      <c r="F149" s="157">
        <f>'Excise Dispatch '!D148</f>
        <v>0</v>
      </c>
      <c r="G149" s="157">
        <f>+'PACK Prod'!D148</f>
        <v>0</v>
      </c>
      <c r="H149" s="157">
        <f t="shared" si="22"/>
        <v>0</v>
      </c>
      <c r="I149" s="158">
        <f t="shared" si="23"/>
        <v>0</v>
      </c>
      <c r="J149" s="157">
        <f t="shared" si="24"/>
        <v>0</v>
      </c>
      <c r="K149" s="157">
        <v>0</v>
      </c>
      <c r="L149" s="159">
        <f t="shared" si="25"/>
        <v>0</v>
      </c>
      <c r="M149" s="157">
        <v>0</v>
      </c>
    </row>
    <row r="150" spans="1:13" s="67" customFormat="1" ht="15.75" customHeight="1" x14ac:dyDescent="0.2">
      <c r="A150" s="48">
        <v>5</v>
      </c>
      <c r="B150" s="166" t="s">
        <v>551</v>
      </c>
      <c r="C150" s="166" t="s">
        <v>550</v>
      </c>
      <c r="D150" s="157">
        <v>0</v>
      </c>
      <c r="E150" s="157">
        <f>+'SMT KIT Rcvd '!D149</f>
        <v>2500</v>
      </c>
      <c r="F150" s="157">
        <f>'Excise Dispatch '!D149</f>
        <v>2500</v>
      </c>
      <c r="G150" s="157">
        <f>+'PACK Prod'!D149</f>
        <v>2500</v>
      </c>
      <c r="H150" s="157">
        <f t="shared" si="22"/>
        <v>0</v>
      </c>
      <c r="I150" s="158">
        <f t="shared" si="23"/>
        <v>0</v>
      </c>
      <c r="J150" s="157">
        <f t="shared" si="24"/>
        <v>0</v>
      </c>
      <c r="K150" s="157">
        <v>2500</v>
      </c>
      <c r="L150" s="159">
        <f t="shared" si="25"/>
        <v>0</v>
      </c>
      <c r="M150" s="157">
        <v>0</v>
      </c>
    </row>
    <row r="151" spans="1:13" s="67" customFormat="1" ht="15.75" customHeight="1" x14ac:dyDescent="0.2">
      <c r="A151" s="48">
        <v>6</v>
      </c>
      <c r="B151" s="166" t="s">
        <v>675</v>
      </c>
      <c r="C151" s="166" t="s">
        <v>670</v>
      </c>
      <c r="D151" s="157">
        <v>0</v>
      </c>
      <c r="E151" s="157">
        <f>+'SMT KIT Rcvd '!D150</f>
        <v>60</v>
      </c>
      <c r="F151" s="157">
        <f>'Excise Dispatch '!D150</f>
        <v>60</v>
      </c>
      <c r="G151" s="157">
        <f>+'PACK Prod'!D150</f>
        <v>60</v>
      </c>
      <c r="H151" s="157">
        <f t="shared" si="22"/>
        <v>0</v>
      </c>
      <c r="I151" s="158">
        <f t="shared" si="23"/>
        <v>0</v>
      </c>
      <c r="J151" s="157">
        <f t="shared" si="24"/>
        <v>0</v>
      </c>
      <c r="K151" s="157">
        <v>60</v>
      </c>
      <c r="L151" s="159">
        <f t="shared" si="25"/>
        <v>0</v>
      </c>
      <c r="M151" s="157">
        <v>0</v>
      </c>
    </row>
    <row r="152" spans="1:13" s="67" customFormat="1" ht="15.75" customHeight="1" x14ac:dyDescent="0.2">
      <c r="A152" s="48">
        <v>7</v>
      </c>
      <c r="B152" s="166" t="s">
        <v>827</v>
      </c>
      <c r="C152" s="166" t="s">
        <v>825</v>
      </c>
      <c r="D152" s="157">
        <v>0</v>
      </c>
      <c r="E152" s="157">
        <f>+'SMT KIT Rcvd '!D151</f>
        <v>1000</v>
      </c>
      <c r="F152" s="157">
        <f>'Excise Dispatch '!D151</f>
        <v>1000</v>
      </c>
      <c r="G152" s="157">
        <f>+'PACK Prod'!D151</f>
        <v>1000</v>
      </c>
      <c r="H152" s="157">
        <f t="shared" si="22"/>
        <v>0</v>
      </c>
      <c r="I152" s="158">
        <f t="shared" si="23"/>
        <v>0</v>
      </c>
      <c r="J152" s="157">
        <f t="shared" si="24"/>
        <v>0</v>
      </c>
      <c r="K152" s="157">
        <v>1000</v>
      </c>
      <c r="L152" s="159">
        <f t="shared" si="25"/>
        <v>0</v>
      </c>
      <c r="M152" s="157">
        <v>0</v>
      </c>
    </row>
    <row r="153" spans="1:13" s="67" customFormat="1" ht="15.75" customHeight="1" x14ac:dyDescent="0.2">
      <c r="A153" s="48">
        <v>8</v>
      </c>
      <c r="B153" s="176" t="s">
        <v>1136</v>
      </c>
      <c r="C153" s="176" t="s">
        <v>1133</v>
      </c>
      <c r="D153" s="157">
        <v>0</v>
      </c>
      <c r="E153" s="157">
        <f>+'SMT KIT Rcvd '!D152</f>
        <v>9200</v>
      </c>
      <c r="F153" s="157">
        <f>'Excise Dispatch '!D152</f>
        <v>9200</v>
      </c>
      <c r="G153" s="157">
        <f>+'PACK Prod'!D152</f>
        <v>9200</v>
      </c>
      <c r="H153" s="157">
        <f t="shared" si="22"/>
        <v>0</v>
      </c>
      <c r="I153" s="158">
        <f t="shared" si="23"/>
        <v>0</v>
      </c>
      <c r="J153" s="157">
        <f t="shared" si="24"/>
        <v>0</v>
      </c>
      <c r="K153" s="157">
        <v>9200</v>
      </c>
      <c r="L153" s="159">
        <f t="shared" si="25"/>
        <v>0</v>
      </c>
      <c r="M153" s="157">
        <v>0</v>
      </c>
    </row>
    <row r="154" spans="1:13" s="67" customFormat="1" ht="15.75" customHeight="1" x14ac:dyDescent="0.2">
      <c r="A154" s="48">
        <v>9</v>
      </c>
      <c r="B154" s="176" t="s">
        <v>1137</v>
      </c>
      <c r="C154" s="176" t="s">
        <v>1134</v>
      </c>
      <c r="D154" s="157">
        <v>0</v>
      </c>
      <c r="E154" s="157">
        <f>+'SMT KIT Rcvd '!D153</f>
        <v>1500</v>
      </c>
      <c r="F154" s="157">
        <f>'Excise Dispatch '!D153</f>
        <v>1500</v>
      </c>
      <c r="G154" s="157">
        <f>+'PACK Prod'!D153</f>
        <v>1500</v>
      </c>
      <c r="H154" s="157">
        <f t="shared" si="22"/>
        <v>0</v>
      </c>
      <c r="I154" s="158">
        <f t="shared" si="23"/>
        <v>0</v>
      </c>
      <c r="J154" s="157">
        <f t="shared" si="24"/>
        <v>0</v>
      </c>
      <c r="K154" s="157">
        <v>1500</v>
      </c>
      <c r="L154" s="159">
        <f t="shared" si="25"/>
        <v>0</v>
      </c>
      <c r="M154" s="157">
        <v>0</v>
      </c>
    </row>
    <row r="155" spans="1:13" s="67" customFormat="1" ht="15.75" customHeight="1" x14ac:dyDescent="0.2">
      <c r="A155" s="48">
        <v>10</v>
      </c>
      <c r="B155" s="176" t="s">
        <v>1138</v>
      </c>
      <c r="C155" s="176" t="s">
        <v>1135</v>
      </c>
      <c r="D155" s="157">
        <v>0</v>
      </c>
      <c r="E155" s="157">
        <f>+'SMT KIT Rcvd '!D154</f>
        <v>400</v>
      </c>
      <c r="F155" s="157">
        <f>'Excise Dispatch '!D154</f>
        <v>400</v>
      </c>
      <c r="G155" s="157">
        <f>+'PACK Prod'!D154</f>
        <v>400</v>
      </c>
      <c r="H155" s="157">
        <f t="shared" si="22"/>
        <v>0</v>
      </c>
      <c r="I155" s="158">
        <f t="shared" si="23"/>
        <v>0</v>
      </c>
      <c r="J155" s="157">
        <f t="shared" si="24"/>
        <v>0</v>
      </c>
      <c r="K155" s="157">
        <v>400</v>
      </c>
      <c r="L155" s="159">
        <f t="shared" si="25"/>
        <v>0</v>
      </c>
      <c r="M155" s="157">
        <v>0</v>
      </c>
    </row>
    <row r="156" spans="1:13" s="67" customFormat="1" ht="15.75" customHeight="1" x14ac:dyDescent="0.2">
      <c r="A156" s="48">
        <v>11</v>
      </c>
      <c r="B156" s="176" t="s">
        <v>869</v>
      </c>
      <c r="C156" s="176" t="s">
        <v>868</v>
      </c>
      <c r="D156" s="157">
        <v>0</v>
      </c>
      <c r="E156" s="157">
        <f>+'SMT KIT Rcvd '!D155</f>
        <v>5000</v>
      </c>
      <c r="F156" s="157">
        <f>'Excise Dispatch '!D155</f>
        <v>5000</v>
      </c>
      <c r="G156" s="157">
        <f>+'PACK Prod'!D155</f>
        <v>5000</v>
      </c>
      <c r="H156" s="157">
        <f t="shared" si="22"/>
        <v>0</v>
      </c>
      <c r="I156" s="158">
        <f t="shared" si="23"/>
        <v>0</v>
      </c>
      <c r="J156" s="157">
        <f t="shared" si="24"/>
        <v>0</v>
      </c>
      <c r="K156" s="157">
        <v>5000</v>
      </c>
      <c r="L156" s="159">
        <f t="shared" si="25"/>
        <v>0</v>
      </c>
      <c r="M156" s="157">
        <v>0</v>
      </c>
    </row>
    <row r="157" spans="1:13" s="67" customFormat="1" ht="15.75" customHeight="1" x14ac:dyDescent="0.2">
      <c r="A157" s="48">
        <v>12</v>
      </c>
      <c r="B157" s="176" t="s">
        <v>925</v>
      </c>
      <c r="C157" s="176" t="s">
        <v>924</v>
      </c>
      <c r="D157" s="157">
        <v>0</v>
      </c>
      <c r="E157" s="157">
        <f>+'SMT KIT Rcvd '!D156</f>
        <v>4000</v>
      </c>
      <c r="F157" s="157">
        <f>'Excise Dispatch '!D156</f>
        <v>4000</v>
      </c>
      <c r="G157" s="157">
        <f>+'PACK Prod'!D156</f>
        <v>4000</v>
      </c>
      <c r="H157" s="157">
        <f t="shared" si="22"/>
        <v>0</v>
      </c>
      <c r="I157" s="158">
        <f t="shared" si="23"/>
        <v>0</v>
      </c>
      <c r="J157" s="157">
        <f t="shared" si="24"/>
        <v>0</v>
      </c>
      <c r="K157" s="157">
        <v>4000</v>
      </c>
      <c r="L157" s="159">
        <f t="shared" si="25"/>
        <v>0</v>
      </c>
      <c r="M157" s="157">
        <v>0</v>
      </c>
    </row>
    <row r="158" spans="1:13" s="67" customFormat="1" ht="15.75" customHeight="1" x14ac:dyDescent="0.2">
      <c r="A158" s="48">
        <v>13</v>
      </c>
      <c r="B158" s="176" t="s">
        <v>930</v>
      </c>
      <c r="C158" s="176" t="s">
        <v>928</v>
      </c>
      <c r="D158" s="157">
        <v>0</v>
      </c>
      <c r="E158" s="157">
        <f>+'SMT KIT Rcvd '!D157</f>
        <v>0</v>
      </c>
      <c r="F158" s="157">
        <f>'Excise Dispatch '!D157</f>
        <v>0</v>
      </c>
      <c r="G158" s="157">
        <f>+'PACK Prod'!D157</f>
        <v>0</v>
      </c>
      <c r="H158" s="157">
        <f t="shared" si="22"/>
        <v>0</v>
      </c>
      <c r="I158" s="158">
        <f t="shared" si="23"/>
        <v>0</v>
      </c>
      <c r="J158" s="157">
        <f t="shared" si="24"/>
        <v>0</v>
      </c>
      <c r="K158" s="157">
        <v>0</v>
      </c>
      <c r="L158" s="159">
        <f t="shared" si="25"/>
        <v>0</v>
      </c>
      <c r="M158" s="157">
        <v>0</v>
      </c>
    </row>
    <row r="159" spans="1:13" s="67" customFormat="1" ht="15.75" customHeight="1" x14ac:dyDescent="0.2">
      <c r="A159" s="48">
        <v>14</v>
      </c>
      <c r="B159" s="176" t="s">
        <v>931</v>
      </c>
      <c r="C159" s="176" t="s">
        <v>929</v>
      </c>
      <c r="D159" s="157">
        <v>0</v>
      </c>
      <c r="E159" s="157">
        <f>+'SMT KIT Rcvd '!D158</f>
        <v>0</v>
      </c>
      <c r="F159" s="157">
        <f>'Excise Dispatch '!D158</f>
        <v>0</v>
      </c>
      <c r="G159" s="157">
        <f>+'PACK Prod'!D158</f>
        <v>0</v>
      </c>
      <c r="H159" s="157">
        <f t="shared" si="22"/>
        <v>0</v>
      </c>
      <c r="I159" s="158">
        <f t="shared" si="23"/>
        <v>0</v>
      </c>
      <c r="J159" s="157">
        <f t="shared" si="24"/>
        <v>0</v>
      </c>
      <c r="K159" s="157">
        <v>0</v>
      </c>
      <c r="L159" s="159">
        <f t="shared" si="25"/>
        <v>0</v>
      </c>
      <c r="M159" s="157">
        <v>0</v>
      </c>
    </row>
    <row r="160" spans="1:13" s="67" customFormat="1" ht="15.75" customHeight="1" x14ac:dyDescent="0.2">
      <c r="A160" s="48">
        <v>15</v>
      </c>
      <c r="B160" s="176" t="s">
        <v>927</v>
      </c>
      <c r="C160" s="176" t="s">
        <v>926</v>
      </c>
      <c r="D160" s="157">
        <v>0</v>
      </c>
      <c r="E160" s="157">
        <f>+'SMT KIT Rcvd '!D159</f>
        <v>0</v>
      </c>
      <c r="F160" s="157">
        <f>'Excise Dispatch '!D159</f>
        <v>0</v>
      </c>
      <c r="G160" s="157">
        <f>+'PACK Prod'!D159</f>
        <v>0</v>
      </c>
      <c r="H160" s="157">
        <f t="shared" si="22"/>
        <v>0</v>
      </c>
      <c r="I160" s="158">
        <f t="shared" si="23"/>
        <v>0</v>
      </c>
      <c r="J160" s="157">
        <f t="shared" si="24"/>
        <v>0</v>
      </c>
      <c r="K160" s="157">
        <v>0</v>
      </c>
      <c r="L160" s="159">
        <f t="shared" si="25"/>
        <v>0</v>
      </c>
      <c r="M160" s="157">
        <v>0</v>
      </c>
    </row>
    <row r="161" spans="1:13" s="67" customFormat="1" ht="15.75" customHeight="1" x14ac:dyDescent="0.2">
      <c r="A161" s="48">
        <v>16</v>
      </c>
      <c r="B161" s="166" t="s">
        <v>828</v>
      </c>
      <c r="C161" s="166" t="s">
        <v>826</v>
      </c>
      <c r="D161" s="157">
        <v>0</v>
      </c>
      <c r="E161" s="157">
        <f>+'SMT KIT Rcvd '!D160</f>
        <v>500</v>
      </c>
      <c r="F161" s="157">
        <f>'Excise Dispatch '!D160</f>
        <v>500</v>
      </c>
      <c r="G161" s="157">
        <f>+'PACK Prod'!D160</f>
        <v>500</v>
      </c>
      <c r="H161" s="157">
        <f t="shared" si="22"/>
        <v>0</v>
      </c>
      <c r="I161" s="158">
        <f t="shared" si="23"/>
        <v>0</v>
      </c>
      <c r="J161" s="157">
        <f t="shared" si="24"/>
        <v>0</v>
      </c>
      <c r="K161" s="157">
        <v>500</v>
      </c>
      <c r="L161" s="159">
        <f t="shared" si="25"/>
        <v>0</v>
      </c>
      <c r="M161" s="157">
        <v>0</v>
      </c>
    </row>
    <row r="162" spans="1:13" s="67" customFormat="1" ht="15.75" customHeight="1" x14ac:dyDescent="0.2">
      <c r="A162" s="48">
        <v>17</v>
      </c>
      <c r="B162" s="176" t="s">
        <v>893</v>
      </c>
      <c r="C162" s="176" t="s">
        <v>892</v>
      </c>
      <c r="D162" s="157">
        <v>15000</v>
      </c>
      <c r="E162" s="157">
        <f>+'SMT KIT Rcvd '!D161</f>
        <v>0</v>
      </c>
      <c r="F162" s="157">
        <f>'Excise Dispatch '!D161</f>
        <v>15000</v>
      </c>
      <c r="G162" s="157">
        <f>+'PACK Prod'!D161</f>
        <v>15000</v>
      </c>
      <c r="H162" s="157">
        <f t="shared" si="22"/>
        <v>0</v>
      </c>
      <c r="I162" s="158">
        <f t="shared" si="23"/>
        <v>0</v>
      </c>
      <c r="J162" s="157">
        <f t="shared" si="24"/>
        <v>0</v>
      </c>
      <c r="K162" s="157">
        <v>0</v>
      </c>
      <c r="L162" s="159">
        <f t="shared" si="25"/>
        <v>-15000</v>
      </c>
      <c r="M162" s="157">
        <v>0</v>
      </c>
    </row>
    <row r="163" spans="1:13" s="67" customFormat="1" ht="15.75" customHeight="1" x14ac:dyDescent="0.2">
      <c r="A163" s="48">
        <v>18</v>
      </c>
      <c r="B163" s="176" t="s">
        <v>1027</v>
      </c>
      <c r="C163" s="176" t="s">
        <v>1025</v>
      </c>
      <c r="D163" s="157">
        <v>0</v>
      </c>
      <c r="E163" s="157">
        <f>+'SMT KIT Rcvd '!D162</f>
        <v>5200</v>
      </c>
      <c r="F163" s="157">
        <f>'Excise Dispatch '!D162</f>
        <v>5200</v>
      </c>
      <c r="G163" s="157">
        <f>+'PACK Prod'!D162</f>
        <v>5200</v>
      </c>
      <c r="H163" s="157">
        <f t="shared" si="22"/>
        <v>0</v>
      </c>
      <c r="I163" s="158">
        <f t="shared" si="23"/>
        <v>0</v>
      </c>
      <c r="J163" s="157">
        <f t="shared" si="24"/>
        <v>0</v>
      </c>
      <c r="K163" s="157">
        <v>5200</v>
      </c>
      <c r="L163" s="159">
        <f t="shared" si="25"/>
        <v>0</v>
      </c>
      <c r="M163" s="157">
        <v>0</v>
      </c>
    </row>
    <row r="164" spans="1:13" s="67" customFormat="1" ht="15.75" customHeight="1" x14ac:dyDescent="0.2">
      <c r="A164" s="48">
        <v>19</v>
      </c>
      <c r="B164" s="176" t="s">
        <v>1028</v>
      </c>
      <c r="C164" s="176" t="s">
        <v>1026</v>
      </c>
      <c r="D164" s="157">
        <v>0</v>
      </c>
      <c r="E164" s="157">
        <f>+'SMT KIT Rcvd '!D163</f>
        <v>30000</v>
      </c>
      <c r="F164" s="157">
        <f>'Excise Dispatch '!D163</f>
        <v>30000</v>
      </c>
      <c r="G164" s="157">
        <f>+'PACK Prod'!D163</f>
        <v>30000</v>
      </c>
      <c r="H164" s="157">
        <f t="shared" si="22"/>
        <v>0</v>
      </c>
      <c r="I164" s="158">
        <f t="shared" si="23"/>
        <v>0</v>
      </c>
      <c r="J164" s="157">
        <f t="shared" si="24"/>
        <v>0</v>
      </c>
      <c r="K164" s="157">
        <v>30000</v>
      </c>
      <c r="L164" s="159">
        <f t="shared" si="25"/>
        <v>0</v>
      </c>
      <c r="M164" s="157">
        <v>0</v>
      </c>
    </row>
    <row r="165" spans="1:13" s="67" customFormat="1" ht="15.75" customHeight="1" x14ac:dyDescent="0.2">
      <c r="A165" s="48">
        <v>20</v>
      </c>
      <c r="B165" s="166" t="s">
        <v>676</v>
      </c>
      <c r="C165" s="166" t="s">
        <v>671</v>
      </c>
      <c r="D165" s="157">
        <v>100</v>
      </c>
      <c r="E165" s="157">
        <f>+'SMT KIT Rcvd '!D164</f>
        <v>240</v>
      </c>
      <c r="F165" s="157">
        <f>'Excise Dispatch '!D164</f>
        <v>340</v>
      </c>
      <c r="G165" s="157">
        <f>+'PACK Prod'!D164</f>
        <v>340</v>
      </c>
      <c r="H165" s="157">
        <f t="shared" si="22"/>
        <v>0</v>
      </c>
      <c r="I165" s="158">
        <f t="shared" si="23"/>
        <v>0</v>
      </c>
      <c r="J165" s="157">
        <f t="shared" si="24"/>
        <v>0</v>
      </c>
      <c r="K165" s="157">
        <v>240</v>
      </c>
      <c r="L165" s="159">
        <f t="shared" si="25"/>
        <v>-100</v>
      </c>
      <c r="M165" s="157">
        <v>0</v>
      </c>
    </row>
    <row r="166" spans="1:13" s="67" customFormat="1" ht="15.75" customHeight="1" x14ac:dyDescent="0.2">
      <c r="A166" s="48">
        <v>21</v>
      </c>
      <c r="B166" s="176" t="s">
        <v>1101</v>
      </c>
      <c r="C166" s="176" t="s">
        <v>1097</v>
      </c>
      <c r="D166" s="157">
        <v>0</v>
      </c>
      <c r="E166" s="157">
        <f>+'SMT KIT Rcvd '!D165</f>
        <v>2500</v>
      </c>
      <c r="F166" s="157">
        <f>'Excise Dispatch '!D165</f>
        <v>2500</v>
      </c>
      <c r="G166" s="157">
        <f>+'PACK Prod'!D165</f>
        <v>2500</v>
      </c>
      <c r="H166" s="157">
        <f t="shared" si="22"/>
        <v>0</v>
      </c>
      <c r="I166" s="158">
        <f t="shared" si="23"/>
        <v>0</v>
      </c>
      <c r="J166" s="157">
        <f t="shared" si="24"/>
        <v>0</v>
      </c>
      <c r="K166" s="157">
        <v>2500</v>
      </c>
      <c r="L166" s="159">
        <f t="shared" si="25"/>
        <v>0</v>
      </c>
      <c r="M166" s="157">
        <v>0</v>
      </c>
    </row>
    <row r="167" spans="1:13" s="67" customFormat="1" ht="15.75" customHeight="1" x14ac:dyDescent="0.2">
      <c r="A167" s="48">
        <v>22</v>
      </c>
      <c r="B167" s="176" t="s">
        <v>1102</v>
      </c>
      <c r="C167" s="176" t="s">
        <v>1098</v>
      </c>
      <c r="D167" s="157">
        <v>0</v>
      </c>
      <c r="E167" s="157">
        <f>+'SMT KIT Rcvd '!D166</f>
        <v>2500</v>
      </c>
      <c r="F167" s="157">
        <f>'Excise Dispatch '!D166</f>
        <v>2500</v>
      </c>
      <c r="G167" s="157">
        <f>+'PACK Prod'!D166</f>
        <v>2500</v>
      </c>
      <c r="H167" s="157">
        <f t="shared" si="22"/>
        <v>0</v>
      </c>
      <c r="I167" s="158">
        <f t="shared" si="23"/>
        <v>0</v>
      </c>
      <c r="J167" s="157">
        <f t="shared" si="24"/>
        <v>0</v>
      </c>
      <c r="K167" s="157">
        <v>2500</v>
      </c>
      <c r="L167" s="159">
        <f t="shared" si="25"/>
        <v>0</v>
      </c>
      <c r="M167" s="157">
        <v>0</v>
      </c>
    </row>
    <row r="168" spans="1:13" s="67" customFormat="1" ht="15.75" customHeight="1" x14ac:dyDescent="0.2">
      <c r="A168" s="48">
        <v>23</v>
      </c>
      <c r="B168" s="176" t="s">
        <v>1103</v>
      </c>
      <c r="C168" s="176" t="s">
        <v>1099</v>
      </c>
      <c r="D168" s="157">
        <v>0</v>
      </c>
      <c r="E168" s="157">
        <f>+'SMT KIT Rcvd '!D167</f>
        <v>500</v>
      </c>
      <c r="F168" s="157">
        <f>'Excise Dispatch '!D167</f>
        <v>500</v>
      </c>
      <c r="G168" s="157">
        <f>+'PACK Prod'!D167</f>
        <v>500</v>
      </c>
      <c r="H168" s="157">
        <f t="shared" si="22"/>
        <v>0</v>
      </c>
      <c r="I168" s="158">
        <f t="shared" si="23"/>
        <v>0</v>
      </c>
      <c r="J168" s="157">
        <f t="shared" si="24"/>
        <v>0</v>
      </c>
      <c r="K168" s="157">
        <v>500</v>
      </c>
      <c r="L168" s="159">
        <f t="shared" si="25"/>
        <v>0</v>
      </c>
      <c r="M168" s="157">
        <v>0</v>
      </c>
    </row>
    <row r="169" spans="1:13" s="67" customFormat="1" ht="15.75" customHeight="1" x14ac:dyDescent="0.2">
      <c r="A169" s="48">
        <v>24</v>
      </c>
      <c r="B169" s="176" t="s">
        <v>1104</v>
      </c>
      <c r="C169" s="176" t="s">
        <v>1100</v>
      </c>
      <c r="D169" s="157">
        <v>0</v>
      </c>
      <c r="E169" s="157">
        <f>+'SMT KIT Rcvd '!D168</f>
        <v>500</v>
      </c>
      <c r="F169" s="157">
        <f>'Excise Dispatch '!D168</f>
        <v>500</v>
      </c>
      <c r="G169" s="157">
        <f>+'PACK Prod'!D168</f>
        <v>500</v>
      </c>
      <c r="H169" s="157">
        <f t="shared" si="22"/>
        <v>0</v>
      </c>
      <c r="I169" s="158">
        <f t="shared" si="23"/>
        <v>0</v>
      </c>
      <c r="J169" s="157">
        <f t="shared" si="24"/>
        <v>0</v>
      </c>
      <c r="K169" s="157">
        <v>500</v>
      </c>
      <c r="L169" s="159">
        <f t="shared" si="25"/>
        <v>0</v>
      </c>
      <c r="M169" s="157">
        <v>0</v>
      </c>
    </row>
    <row r="170" spans="1:13" s="67" customFormat="1" ht="15.75" customHeight="1" x14ac:dyDescent="0.2">
      <c r="A170" s="48">
        <v>25</v>
      </c>
      <c r="B170" s="166" t="s">
        <v>677</v>
      </c>
      <c r="C170" s="166" t="s">
        <v>672</v>
      </c>
      <c r="D170" s="157">
        <v>0</v>
      </c>
      <c r="E170" s="157">
        <f>+'SMT KIT Rcvd '!D169</f>
        <v>80</v>
      </c>
      <c r="F170" s="157">
        <f>'Excise Dispatch '!D169</f>
        <v>80</v>
      </c>
      <c r="G170" s="157">
        <f>+'PACK Prod'!D169</f>
        <v>80</v>
      </c>
      <c r="H170" s="157">
        <f t="shared" si="22"/>
        <v>0</v>
      </c>
      <c r="I170" s="158">
        <f t="shared" si="23"/>
        <v>0</v>
      </c>
      <c r="J170" s="157">
        <f t="shared" si="24"/>
        <v>0</v>
      </c>
      <c r="K170" s="157">
        <v>80</v>
      </c>
      <c r="L170" s="159">
        <f t="shared" si="25"/>
        <v>0</v>
      </c>
      <c r="M170" s="157">
        <v>0</v>
      </c>
    </row>
    <row r="171" spans="1:13" s="67" customFormat="1" ht="15.75" customHeight="1" x14ac:dyDescent="0.2">
      <c r="A171" s="48">
        <v>26</v>
      </c>
      <c r="B171" s="176" t="s">
        <v>1107</v>
      </c>
      <c r="C171" s="176" t="s">
        <v>1105</v>
      </c>
      <c r="D171" s="157">
        <v>0</v>
      </c>
      <c r="E171" s="157">
        <f>+'SMT KIT Rcvd '!D170</f>
        <v>500</v>
      </c>
      <c r="F171" s="157">
        <f>'Excise Dispatch '!D170</f>
        <v>500</v>
      </c>
      <c r="G171" s="157">
        <f>+'PACK Prod'!D170</f>
        <v>500</v>
      </c>
      <c r="H171" s="157">
        <f t="shared" si="22"/>
        <v>0</v>
      </c>
      <c r="I171" s="158">
        <f t="shared" si="23"/>
        <v>0</v>
      </c>
      <c r="J171" s="157">
        <f t="shared" si="24"/>
        <v>0</v>
      </c>
      <c r="K171" s="157">
        <v>500</v>
      </c>
      <c r="L171" s="159">
        <f t="shared" si="25"/>
        <v>0</v>
      </c>
      <c r="M171" s="157">
        <v>0</v>
      </c>
    </row>
    <row r="172" spans="1:13" s="67" customFormat="1" ht="15.75" customHeight="1" x14ac:dyDescent="0.2">
      <c r="A172" s="48">
        <v>27</v>
      </c>
      <c r="B172" s="176" t="s">
        <v>1108</v>
      </c>
      <c r="C172" s="176" t="s">
        <v>1106</v>
      </c>
      <c r="D172" s="157">
        <v>0</v>
      </c>
      <c r="E172" s="157">
        <f>+'SMT KIT Rcvd '!D171</f>
        <v>500</v>
      </c>
      <c r="F172" s="157">
        <f>'Excise Dispatch '!D171</f>
        <v>500</v>
      </c>
      <c r="G172" s="157">
        <f>+'PACK Prod'!D171</f>
        <v>500</v>
      </c>
      <c r="H172" s="157">
        <f t="shared" si="22"/>
        <v>0</v>
      </c>
      <c r="I172" s="158">
        <f t="shared" si="23"/>
        <v>0</v>
      </c>
      <c r="J172" s="157">
        <f t="shared" si="24"/>
        <v>0</v>
      </c>
      <c r="K172" s="157">
        <v>500</v>
      </c>
      <c r="L172" s="159">
        <f t="shared" si="25"/>
        <v>0</v>
      </c>
      <c r="M172" s="157">
        <v>0</v>
      </c>
    </row>
    <row r="173" spans="1:13" s="67" customFormat="1" ht="15.75" customHeight="1" x14ac:dyDescent="0.2">
      <c r="A173" s="48">
        <v>28</v>
      </c>
      <c r="B173" s="176" t="s">
        <v>1111</v>
      </c>
      <c r="C173" s="176" t="s">
        <v>1109</v>
      </c>
      <c r="D173" s="157">
        <v>0</v>
      </c>
      <c r="E173" s="157">
        <f>+'SMT KIT Rcvd '!D172</f>
        <v>15000</v>
      </c>
      <c r="F173" s="157">
        <f>'Excise Dispatch '!D172</f>
        <v>15000</v>
      </c>
      <c r="G173" s="157">
        <f>+'PACK Prod'!D172</f>
        <v>15000</v>
      </c>
      <c r="H173" s="157">
        <f t="shared" si="22"/>
        <v>0</v>
      </c>
      <c r="I173" s="158">
        <f t="shared" si="23"/>
        <v>0</v>
      </c>
      <c r="J173" s="157">
        <f t="shared" si="24"/>
        <v>0</v>
      </c>
      <c r="K173" s="157">
        <v>15000</v>
      </c>
      <c r="L173" s="159">
        <f t="shared" si="25"/>
        <v>0</v>
      </c>
      <c r="M173" s="157">
        <v>0</v>
      </c>
    </row>
    <row r="174" spans="1:13" s="67" customFormat="1" ht="15.75" customHeight="1" x14ac:dyDescent="0.2">
      <c r="A174" s="48">
        <v>29</v>
      </c>
      <c r="B174" s="176" t="s">
        <v>1112</v>
      </c>
      <c r="C174" s="176" t="s">
        <v>1110</v>
      </c>
      <c r="D174" s="157">
        <v>0</v>
      </c>
      <c r="E174" s="157">
        <f>+'SMT KIT Rcvd '!D173</f>
        <v>10000</v>
      </c>
      <c r="F174" s="157">
        <f>'Excise Dispatch '!D173</f>
        <v>10000</v>
      </c>
      <c r="G174" s="157">
        <f>+'PACK Prod'!D173</f>
        <v>10000</v>
      </c>
      <c r="H174" s="157">
        <f t="shared" si="22"/>
        <v>0</v>
      </c>
      <c r="I174" s="158">
        <f t="shared" si="23"/>
        <v>0</v>
      </c>
      <c r="J174" s="157">
        <f t="shared" si="24"/>
        <v>0</v>
      </c>
      <c r="K174" s="157">
        <v>10000</v>
      </c>
      <c r="L174" s="159">
        <f t="shared" si="25"/>
        <v>0</v>
      </c>
      <c r="M174" s="157">
        <v>0</v>
      </c>
    </row>
    <row r="175" spans="1:13" s="67" customFormat="1" ht="15.75" customHeight="1" x14ac:dyDescent="0.2">
      <c r="A175" s="48">
        <v>30</v>
      </c>
      <c r="B175" s="176" t="s">
        <v>1114</v>
      </c>
      <c r="C175" s="176" t="s">
        <v>1113</v>
      </c>
      <c r="D175" s="157">
        <v>0</v>
      </c>
      <c r="E175" s="157">
        <f>+'SMT KIT Rcvd '!D174</f>
        <v>500</v>
      </c>
      <c r="F175" s="157">
        <f>'Excise Dispatch '!D174</f>
        <v>500</v>
      </c>
      <c r="G175" s="157">
        <f>+'PACK Prod'!D174</f>
        <v>500</v>
      </c>
      <c r="H175" s="157">
        <f t="shared" si="22"/>
        <v>0</v>
      </c>
      <c r="I175" s="158">
        <f t="shared" si="23"/>
        <v>0</v>
      </c>
      <c r="J175" s="157">
        <f t="shared" si="24"/>
        <v>0</v>
      </c>
      <c r="K175" s="157">
        <v>500</v>
      </c>
      <c r="L175" s="159">
        <f t="shared" si="25"/>
        <v>0</v>
      </c>
      <c r="M175" s="157">
        <v>0</v>
      </c>
    </row>
    <row r="176" spans="1:13" s="67" customFormat="1" ht="15.75" customHeight="1" x14ac:dyDescent="0.2">
      <c r="A176" s="48">
        <v>31</v>
      </c>
      <c r="B176" s="166" t="s">
        <v>678</v>
      </c>
      <c r="C176" s="166" t="s">
        <v>673</v>
      </c>
      <c r="D176" s="157">
        <v>0</v>
      </c>
      <c r="E176" s="157">
        <f>+'SMT KIT Rcvd '!D175</f>
        <v>5000</v>
      </c>
      <c r="F176" s="157">
        <f>'Excise Dispatch '!D175</f>
        <v>5000</v>
      </c>
      <c r="G176" s="157">
        <f>+'PACK Prod'!D175</f>
        <v>5000</v>
      </c>
      <c r="H176" s="157">
        <f t="shared" si="22"/>
        <v>0</v>
      </c>
      <c r="I176" s="158">
        <f t="shared" si="23"/>
        <v>0</v>
      </c>
      <c r="J176" s="157">
        <f t="shared" si="24"/>
        <v>0</v>
      </c>
      <c r="K176" s="157">
        <v>5000</v>
      </c>
      <c r="L176" s="159">
        <f t="shared" si="25"/>
        <v>0</v>
      </c>
      <c r="M176" s="157">
        <v>0</v>
      </c>
    </row>
    <row r="177" spans="1:13" s="67" customFormat="1" ht="15.75" customHeight="1" x14ac:dyDescent="0.2">
      <c r="A177" s="48">
        <v>32</v>
      </c>
      <c r="B177" s="166" t="s">
        <v>679</v>
      </c>
      <c r="C177" s="166" t="s">
        <v>674</v>
      </c>
      <c r="D177" s="157">
        <v>0</v>
      </c>
      <c r="E177" s="157">
        <f>+'SMT KIT Rcvd '!D176</f>
        <v>10000</v>
      </c>
      <c r="F177" s="157">
        <f>'Excise Dispatch '!D176</f>
        <v>10000</v>
      </c>
      <c r="G177" s="157">
        <f>+'PACK Prod'!D176</f>
        <v>10000</v>
      </c>
      <c r="H177" s="157">
        <f t="shared" si="22"/>
        <v>0</v>
      </c>
      <c r="I177" s="158">
        <f t="shared" si="23"/>
        <v>0</v>
      </c>
      <c r="J177" s="157">
        <f t="shared" si="24"/>
        <v>0</v>
      </c>
      <c r="K177" s="157">
        <v>10000</v>
      </c>
      <c r="L177" s="159">
        <f t="shared" si="25"/>
        <v>0</v>
      </c>
      <c r="M177" s="157">
        <v>0</v>
      </c>
    </row>
    <row r="178" spans="1:13" s="67" customFormat="1" ht="15.75" customHeight="1" x14ac:dyDescent="0.2">
      <c r="A178" s="48">
        <v>33</v>
      </c>
      <c r="B178" s="166" t="s">
        <v>215</v>
      </c>
      <c r="C178" s="166" t="s">
        <v>216</v>
      </c>
      <c r="D178" s="157">
        <v>0</v>
      </c>
      <c r="E178" s="157">
        <f>+'SMT KIT Rcvd '!D177</f>
        <v>2000</v>
      </c>
      <c r="F178" s="157">
        <f>'Excise Dispatch '!D177</f>
        <v>2000</v>
      </c>
      <c r="G178" s="157">
        <f>+'PACK Prod'!D177</f>
        <v>2000</v>
      </c>
      <c r="H178" s="157">
        <f t="shared" si="22"/>
        <v>0</v>
      </c>
      <c r="I178" s="158">
        <f t="shared" si="23"/>
        <v>0</v>
      </c>
      <c r="J178" s="157">
        <f t="shared" si="24"/>
        <v>0</v>
      </c>
      <c r="K178" s="157">
        <v>2000</v>
      </c>
      <c r="L178" s="159">
        <f t="shared" si="25"/>
        <v>0</v>
      </c>
      <c r="M178" s="157">
        <v>0</v>
      </c>
    </row>
    <row r="179" spans="1:13" s="67" customFormat="1" ht="15.75" customHeight="1" x14ac:dyDescent="0.2">
      <c r="A179" s="48">
        <v>34</v>
      </c>
      <c r="B179" s="166" t="s">
        <v>417</v>
      </c>
      <c r="C179" s="166" t="s">
        <v>415</v>
      </c>
      <c r="D179" s="157">
        <v>0</v>
      </c>
      <c r="E179" s="157">
        <f>+'SMT KIT Rcvd '!D178</f>
        <v>500</v>
      </c>
      <c r="F179" s="157">
        <f>'Excise Dispatch '!D178</f>
        <v>500</v>
      </c>
      <c r="G179" s="157">
        <f>+'PACK Prod'!D178</f>
        <v>500</v>
      </c>
      <c r="H179" s="157">
        <f t="shared" si="22"/>
        <v>0</v>
      </c>
      <c r="I179" s="158">
        <f t="shared" si="23"/>
        <v>0</v>
      </c>
      <c r="J179" s="157">
        <f t="shared" si="24"/>
        <v>0</v>
      </c>
      <c r="K179" s="157">
        <v>500</v>
      </c>
      <c r="L179" s="159">
        <f t="shared" si="25"/>
        <v>0</v>
      </c>
      <c r="M179" s="157">
        <v>0</v>
      </c>
    </row>
    <row r="180" spans="1:13" s="67" customFormat="1" ht="15.75" customHeight="1" x14ac:dyDescent="0.2">
      <c r="A180" s="48">
        <v>35</v>
      </c>
      <c r="B180" s="166" t="s">
        <v>418</v>
      </c>
      <c r="C180" s="166" t="s">
        <v>416</v>
      </c>
      <c r="D180" s="157">
        <v>0</v>
      </c>
      <c r="E180" s="157">
        <f>+'SMT KIT Rcvd '!D179</f>
        <v>500</v>
      </c>
      <c r="F180" s="157">
        <f>'Excise Dispatch '!D179</f>
        <v>500</v>
      </c>
      <c r="G180" s="157">
        <f>+'PACK Prod'!D179</f>
        <v>500</v>
      </c>
      <c r="H180" s="157">
        <f t="shared" si="22"/>
        <v>0</v>
      </c>
      <c r="I180" s="158">
        <f t="shared" si="23"/>
        <v>0</v>
      </c>
      <c r="J180" s="157">
        <f t="shared" si="24"/>
        <v>0</v>
      </c>
      <c r="K180" s="157">
        <v>500</v>
      </c>
      <c r="L180" s="159">
        <f t="shared" si="25"/>
        <v>0</v>
      </c>
      <c r="M180" s="157">
        <v>0</v>
      </c>
    </row>
    <row r="181" spans="1:13" s="67" customFormat="1" ht="15.75" customHeight="1" x14ac:dyDescent="0.2">
      <c r="A181" s="48">
        <v>36</v>
      </c>
      <c r="B181" s="166" t="s">
        <v>650</v>
      </c>
      <c r="C181" s="166" t="s">
        <v>649</v>
      </c>
      <c r="D181" s="157">
        <v>0</v>
      </c>
      <c r="E181" s="157">
        <f>+'SMT KIT Rcvd '!D180</f>
        <v>500</v>
      </c>
      <c r="F181" s="157">
        <f>'Excise Dispatch '!D180</f>
        <v>468</v>
      </c>
      <c r="G181" s="157">
        <f>+'PACK Prod'!D180</f>
        <v>500</v>
      </c>
      <c r="H181" s="157">
        <f t="shared" si="22"/>
        <v>32</v>
      </c>
      <c r="I181" s="158">
        <f t="shared" si="23"/>
        <v>32</v>
      </c>
      <c r="J181" s="157">
        <f t="shared" si="24"/>
        <v>0</v>
      </c>
      <c r="K181" s="157">
        <v>500</v>
      </c>
      <c r="L181" s="159">
        <f t="shared" si="25"/>
        <v>0</v>
      </c>
      <c r="M181" s="157">
        <v>0</v>
      </c>
    </row>
    <row r="182" spans="1:13" s="67" customFormat="1" ht="15.75" customHeight="1" x14ac:dyDescent="0.2">
      <c r="A182" s="48">
        <v>37</v>
      </c>
      <c r="B182" s="176" t="s">
        <v>1174</v>
      </c>
      <c r="C182" s="176" t="s">
        <v>1172</v>
      </c>
      <c r="D182" s="157">
        <v>0</v>
      </c>
      <c r="E182" s="157">
        <f>+'SMT KIT Rcvd '!D181</f>
        <v>5000</v>
      </c>
      <c r="F182" s="157">
        <f>'Excise Dispatch '!D181</f>
        <v>5000</v>
      </c>
      <c r="G182" s="157">
        <f>+'PACK Prod'!D181</f>
        <v>5000</v>
      </c>
      <c r="H182" s="157">
        <f t="shared" si="22"/>
        <v>0</v>
      </c>
      <c r="I182" s="158">
        <f t="shared" si="23"/>
        <v>0</v>
      </c>
      <c r="J182" s="157">
        <f t="shared" si="24"/>
        <v>0</v>
      </c>
      <c r="K182" s="157">
        <v>5000</v>
      </c>
      <c r="L182" s="159">
        <f t="shared" si="25"/>
        <v>0</v>
      </c>
      <c r="M182" s="157">
        <v>0</v>
      </c>
    </row>
    <row r="183" spans="1:13" s="67" customFormat="1" ht="15.75" customHeight="1" x14ac:dyDescent="0.2">
      <c r="A183" s="48">
        <v>38</v>
      </c>
      <c r="B183" s="176" t="s">
        <v>1143</v>
      </c>
      <c r="C183" s="176" t="s">
        <v>1173</v>
      </c>
      <c r="D183" s="157">
        <v>0</v>
      </c>
      <c r="E183" s="157">
        <f>+'SMT KIT Rcvd '!D182</f>
        <v>500</v>
      </c>
      <c r="F183" s="157">
        <f>'Excise Dispatch '!D182</f>
        <v>500</v>
      </c>
      <c r="G183" s="157">
        <f>+'PACK Prod'!D182</f>
        <v>500</v>
      </c>
      <c r="H183" s="157">
        <f t="shared" si="22"/>
        <v>0</v>
      </c>
      <c r="I183" s="158">
        <f t="shared" si="23"/>
        <v>0</v>
      </c>
      <c r="J183" s="157">
        <f t="shared" si="24"/>
        <v>0</v>
      </c>
      <c r="K183" s="157">
        <v>500</v>
      </c>
      <c r="L183" s="159">
        <f t="shared" si="25"/>
        <v>0</v>
      </c>
      <c r="M183" s="157">
        <v>0</v>
      </c>
    </row>
    <row r="184" spans="1:13" s="67" customFormat="1" ht="15.75" customHeight="1" x14ac:dyDescent="0.2">
      <c r="A184" s="48">
        <v>39</v>
      </c>
      <c r="B184" s="176" t="s">
        <v>1177</v>
      </c>
      <c r="C184" s="176" t="s">
        <v>1175</v>
      </c>
      <c r="D184" s="157">
        <v>0</v>
      </c>
      <c r="E184" s="157">
        <f>+'SMT KIT Rcvd '!D183</f>
        <v>6640</v>
      </c>
      <c r="F184" s="157">
        <f>'Excise Dispatch '!D183</f>
        <v>6640</v>
      </c>
      <c r="G184" s="157">
        <f>+'PACK Prod'!D183</f>
        <v>6640</v>
      </c>
      <c r="H184" s="157">
        <f t="shared" si="22"/>
        <v>0</v>
      </c>
      <c r="I184" s="158">
        <f t="shared" si="23"/>
        <v>0</v>
      </c>
      <c r="J184" s="157">
        <f t="shared" si="24"/>
        <v>0</v>
      </c>
      <c r="K184" s="157">
        <v>6640</v>
      </c>
      <c r="L184" s="159">
        <f t="shared" si="25"/>
        <v>0</v>
      </c>
      <c r="M184" s="157">
        <v>0</v>
      </c>
    </row>
    <row r="185" spans="1:13" s="67" customFormat="1" ht="15.75" customHeight="1" x14ac:dyDescent="0.2">
      <c r="A185" s="48">
        <v>40</v>
      </c>
      <c r="B185" s="176" t="s">
        <v>1178</v>
      </c>
      <c r="C185" s="176" t="s">
        <v>1176</v>
      </c>
      <c r="D185" s="157">
        <v>0</v>
      </c>
      <c r="E185" s="157">
        <f>+'SMT KIT Rcvd '!D184</f>
        <v>5000</v>
      </c>
      <c r="F185" s="157">
        <f>'Excise Dispatch '!D184</f>
        <v>5000</v>
      </c>
      <c r="G185" s="157">
        <f>+'PACK Prod'!D184</f>
        <v>5000</v>
      </c>
      <c r="H185" s="157">
        <f t="shared" si="22"/>
        <v>0</v>
      </c>
      <c r="I185" s="158">
        <f t="shared" si="23"/>
        <v>0</v>
      </c>
      <c r="J185" s="157">
        <f t="shared" si="24"/>
        <v>0</v>
      </c>
      <c r="K185" s="157">
        <v>5000</v>
      </c>
      <c r="L185" s="159">
        <f t="shared" si="25"/>
        <v>0</v>
      </c>
      <c r="M185" s="157">
        <v>0</v>
      </c>
    </row>
    <row r="186" spans="1:13" s="67" customFormat="1" ht="15.75" customHeight="1" x14ac:dyDescent="0.2">
      <c r="A186" s="48">
        <v>41</v>
      </c>
      <c r="B186" s="166" t="s">
        <v>766</v>
      </c>
      <c r="C186" s="166" t="s">
        <v>765</v>
      </c>
      <c r="D186" s="157">
        <v>0</v>
      </c>
      <c r="E186" s="157">
        <f>+'SMT KIT Rcvd '!D185</f>
        <v>0</v>
      </c>
      <c r="F186" s="157">
        <f>'Excise Dispatch '!D185</f>
        <v>0</v>
      </c>
      <c r="G186" s="157">
        <f>+'PACK Prod'!D185</f>
        <v>0</v>
      </c>
      <c r="H186" s="157">
        <f t="shared" si="22"/>
        <v>0</v>
      </c>
      <c r="I186" s="158">
        <f t="shared" si="23"/>
        <v>0</v>
      </c>
      <c r="J186" s="157">
        <f t="shared" si="24"/>
        <v>0</v>
      </c>
      <c r="K186" s="157">
        <v>0</v>
      </c>
      <c r="L186" s="159">
        <f t="shared" si="25"/>
        <v>0</v>
      </c>
      <c r="M186" s="157">
        <v>0</v>
      </c>
    </row>
    <row r="187" spans="1:13" s="67" customFormat="1" ht="15.75" customHeight="1" x14ac:dyDescent="0.2">
      <c r="A187" s="48">
        <v>42</v>
      </c>
      <c r="B187" s="166" t="s">
        <v>305</v>
      </c>
      <c r="C187" s="166" t="s">
        <v>304</v>
      </c>
      <c r="D187" s="157">
        <v>0</v>
      </c>
      <c r="E187" s="157">
        <f>+'SMT KIT Rcvd '!D186</f>
        <v>160</v>
      </c>
      <c r="F187" s="157">
        <f>'Excise Dispatch '!D186</f>
        <v>160</v>
      </c>
      <c r="G187" s="157">
        <f>+'PACK Prod'!D186</f>
        <v>160</v>
      </c>
      <c r="H187" s="157">
        <f t="shared" si="22"/>
        <v>0</v>
      </c>
      <c r="I187" s="158">
        <f t="shared" si="23"/>
        <v>0</v>
      </c>
      <c r="J187" s="157">
        <f t="shared" si="24"/>
        <v>0</v>
      </c>
      <c r="K187" s="157">
        <v>160</v>
      </c>
      <c r="L187" s="159">
        <f t="shared" si="25"/>
        <v>0</v>
      </c>
      <c r="M187" s="157">
        <v>0</v>
      </c>
    </row>
    <row r="188" spans="1:13" s="67" customFormat="1" ht="15.75" customHeight="1" x14ac:dyDescent="0.2">
      <c r="A188" s="48">
        <v>43</v>
      </c>
      <c r="B188" s="166" t="s">
        <v>306</v>
      </c>
      <c r="C188" s="166" t="s">
        <v>307</v>
      </c>
      <c r="D188" s="157">
        <v>0</v>
      </c>
      <c r="E188" s="157">
        <f>+'SMT KIT Rcvd '!D187</f>
        <v>500</v>
      </c>
      <c r="F188" s="157">
        <f>'Excise Dispatch '!D187</f>
        <v>500</v>
      </c>
      <c r="G188" s="157">
        <f>+'PACK Prod'!D187</f>
        <v>500</v>
      </c>
      <c r="H188" s="157">
        <f t="shared" si="22"/>
        <v>0</v>
      </c>
      <c r="I188" s="158">
        <f t="shared" si="23"/>
        <v>0</v>
      </c>
      <c r="J188" s="157">
        <f t="shared" si="24"/>
        <v>0</v>
      </c>
      <c r="K188" s="157">
        <v>500</v>
      </c>
      <c r="L188" s="159">
        <f t="shared" si="25"/>
        <v>0</v>
      </c>
      <c r="M188" s="157">
        <v>0</v>
      </c>
    </row>
    <row r="189" spans="1:13" s="67" customFormat="1" ht="15.75" customHeight="1" x14ac:dyDescent="0.2">
      <c r="A189" s="48">
        <v>44</v>
      </c>
      <c r="B189" s="166" t="s">
        <v>449</v>
      </c>
      <c r="C189" s="166" t="s">
        <v>448</v>
      </c>
      <c r="D189" s="157">
        <v>0</v>
      </c>
      <c r="E189" s="157">
        <f>+'SMT KIT Rcvd '!D188</f>
        <v>0</v>
      </c>
      <c r="F189" s="157">
        <f>'Excise Dispatch '!D188</f>
        <v>0</v>
      </c>
      <c r="G189" s="157">
        <f>+'PACK Prod'!D188</f>
        <v>0</v>
      </c>
      <c r="H189" s="157">
        <f t="shared" si="22"/>
        <v>0</v>
      </c>
      <c r="I189" s="158">
        <f t="shared" si="23"/>
        <v>0</v>
      </c>
      <c r="J189" s="157">
        <f t="shared" si="24"/>
        <v>0</v>
      </c>
      <c r="K189" s="157">
        <v>0</v>
      </c>
      <c r="L189" s="159">
        <f t="shared" si="25"/>
        <v>0</v>
      </c>
      <c r="M189" s="157">
        <v>0</v>
      </c>
    </row>
    <row r="190" spans="1:13" s="67" customFormat="1" ht="15.75" customHeight="1" x14ac:dyDescent="0.2">
      <c r="A190" s="48">
        <v>45</v>
      </c>
      <c r="B190" s="166" t="s">
        <v>662</v>
      </c>
      <c r="C190" s="166" t="s">
        <v>661</v>
      </c>
      <c r="D190" s="157">
        <v>186</v>
      </c>
      <c r="E190" s="157">
        <f>+'SMT KIT Rcvd '!D189</f>
        <v>12700</v>
      </c>
      <c r="F190" s="157">
        <f>'Excise Dispatch '!D189</f>
        <v>12886</v>
      </c>
      <c r="G190" s="157">
        <f>+'PACK Prod'!D189</f>
        <v>12700</v>
      </c>
      <c r="H190" s="157">
        <f t="shared" si="22"/>
        <v>0</v>
      </c>
      <c r="I190" s="158">
        <f t="shared" si="23"/>
        <v>0</v>
      </c>
      <c r="J190" s="157">
        <f t="shared" si="24"/>
        <v>0</v>
      </c>
      <c r="K190" s="157">
        <v>12700</v>
      </c>
      <c r="L190" s="159">
        <f t="shared" si="25"/>
        <v>-186</v>
      </c>
      <c r="M190" s="157">
        <v>186</v>
      </c>
    </row>
    <row r="191" spans="1:13" s="67" customFormat="1" ht="15.75" customHeight="1" x14ac:dyDescent="0.2">
      <c r="A191" s="48">
        <v>46</v>
      </c>
      <c r="B191" s="166" t="s">
        <v>220</v>
      </c>
      <c r="C191" s="166" t="s">
        <v>219</v>
      </c>
      <c r="D191" s="157">
        <v>104</v>
      </c>
      <c r="E191" s="157">
        <f>+'SMT KIT Rcvd '!D190</f>
        <v>0</v>
      </c>
      <c r="F191" s="157">
        <f>'Excise Dispatch '!D190</f>
        <v>0</v>
      </c>
      <c r="G191" s="157">
        <f>+'PACK Prod'!D190</f>
        <v>0</v>
      </c>
      <c r="H191" s="157">
        <f t="shared" si="22"/>
        <v>104</v>
      </c>
      <c r="I191" s="158">
        <f t="shared" si="23"/>
        <v>104</v>
      </c>
      <c r="J191" s="157">
        <f t="shared" si="24"/>
        <v>0</v>
      </c>
      <c r="K191" s="157">
        <v>0</v>
      </c>
      <c r="L191" s="159">
        <f t="shared" si="25"/>
        <v>-104</v>
      </c>
      <c r="M191" s="157">
        <v>104</v>
      </c>
    </row>
    <row r="192" spans="1:13" s="67" customFormat="1" ht="15.75" customHeight="1" x14ac:dyDescent="0.2">
      <c r="A192" s="48">
        <v>47</v>
      </c>
      <c r="B192" s="166" t="s">
        <v>152</v>
      </c>
      <c r="C192" s="166" t="s">
        <v>103</v>
      </c>
      <c r="D192" s="157">
        <v>609</v>
      </c>
      <c r="E192" s="157">
        <f>+'SMT KIT Rcvd '!D191</f>
        <v>4200</v>
      </c>
      <c r="F192" s="157">
        <f>'Excise Dispatch '!D191</f>
        <v>4809</v>
      </c>
      <c r="G192" s="157">
        <f>+'PACK Prod'!D191</f>
        <v>4200</v>
      </c>
      <c r="H192" s="157">
        <f t="shared" si="22"/>
        <v>0</v>
      </c>
      <c r="I192" s="158">
        <f t="shared" si="23"/>
        <v>0</v>
      </c>
      <c r="J192" s="157">
        <f t="shared" si="24"/>
        <v>0</v>
      </c>
      <c r="K192" s="157">
        <v>4200</v>
      </c>
      <c r="L192" s="159">
        <f t="shared" si="25"/>
        <v>-609</v>
      </c>
      <c r="M192" s="157">
        <v>609</v>
      </c>
    </row>
    <row r="193" spans="1:13" s="67" customFormat="1" ht="15.75" customHeight="1" x14ac:dyDescent="0.2">
      <c r="A193" s="48">
        <v>48</v>
      </c>
      <c r="B193" s="166" t="s">
        <v>898</v>
      </c>
      <c r="C193" s="166" t="s">
        <v>896</v>
      </c>
      <c r="D193" s="157">
        <v>0</v>
      </c>
      <c r="E193" s="157">
        <f>+'SMT KIT Rcvd '!D192</f>
        <v>0</v>
      </c>
      <c r="F193" s="157">
        <f>'Excise Dispatch '!D192</f>
        <v>0</v>
      </c>
      <c r="G193" s="157">
        <f>+'PACK Prod'!D192</f>
        <v>0</v>
      </c>
      <c r="H193" s="157">
        <f t="shared" si="22"/>
        <v>0</v>
      </c>
      <c r="I193" s="158">
        <f t="shared" si="23"/>
        <v>0</v>
      </c>
      <c r="J193" s="157">
        <f t="shared" si="24"/>
        <v>0</v>
      </c>
      <c r="K193" s="157">
        <v>0</v>
      </c>
      <c r="L193" s="159">
        <f t="shared" si="25"/>
        <v>0</v>
      </c>
      <c r="M193" s="157">
        <v>0</v>
      </c>
    </row>
    <row r="194" spans="1:13" s="67" customFormat="1" ht="15.75" customHeight="1" x14ac:dyDescent="0.2">
      <c r="A194" s="48">
        <v>49</v>
      </c>
      <c r="B194" s="166" t="s">
        <v>899</v>
      </c>
      <c r="C194" s="166" t="s">
        <v>897</v>
      </c>
      <c r="D194" s="157">
        <v>0</v>
      </c>
      <c r="E194" s="157">
        <f>+'SMT KIT Rcvd '!D193</f>
        <v>2320</v>
      </c>
      <c r="F194" s="157">
        <f>'Excise Dispatch '!D193</f>
        <v>2320</v>
      </c>
      <c r="G194" s="157">
        <f>+'PACK Prod'!D193</f>
        <v>2320</v>
      </c>
      <c r="H194" s="157">
        <f t="shared" si="22"/>
        <v>0</v>
      </c>
      <c r="I194" s="158">
        <f t="shared" si="23"/>
        <v>0</v>
      </c>
      <c r="J194" s="157">
        <f t="shared" si="24"/>
        <v>0</v>
      </c>
      <c r="K194" s="157">
        <v>2320</v>
      </c>
      <c r="L194" s="159">
        <f t="shared" si="25"/>
        <v>0</v>
      </c>
      <c r="M194" s="157">
        <v>0</v>
      </c>
    </row>
    <row r="195" spans="1:13" s="67" customFormat="1" ht="15.75" customHeight="1" x14ac:dyDescent="0.2">
      <c r="A195" s="48">
        <v>50</v>
      </c>
      <c r="B195" s="166" t="s">
        <v>798</v>
      </c>
      <c r="C195" s="166" t="s">
        <v>797</v>
      </c>
      <c r="D195" s="157">
        <v>0</v>
      </c>
      <c r="E195" s="157">
        <f>+'SMT KIT Rcvd '!D194</f>
        <v>880</v>
      </c>
      <c r="F195" s="157">
        <f>'Excise Dispatch '!D194</f>
        <v>880</v>
      </c>
      <c r="G195" s="157">
        <f>+'PACK Prod'!D194</f>
        <v>880</v>
      </c>
      <c r="H195" s="157">
        <f t="shared" si="22"/>
        <v>0</v>
      </c>
      <c r="I195" s="158">
        <f t="shared" si="23"/>
        <v>0</v>
      </c>
      <c r="J195" s="157">
        <f t="shared" si="24"/>
        <v>0</v>
      </c>
      <c r="K195" s="157">
        <v>880</v>
      </c>
      <c r="L195" s="159">
        <f t="shared" si="25"/>
        <v>0</v>
      </c>
      <c r="M195" s="157">
        <v>0</v>
      </c>
    </row>
    <row r="196" spans="1:13" s="67" customFormat="1" ht="15.75" customHeight="1" x14ac:dyDescent="0.2">
      <c r="A196" s="48">
        <v>51</v>
      </c>
      <c r="B196" s="166" t="s">
        <v>800</v>
      </c>
      <c r="C196" s="166" t="s">
        <v>799</v>
      </c>
      <c r="D196" s="157">
        <v>0</v>
      </c>
      <c r="E196" s="157">
        <f>+'SMT KIT Rcvd '!D195</f>
        <v>26600</v>
      </c>
      <c r="F196" s="157">
        <f>'Excise Dispatch '!D195</f>
        <v>26600</v>
      </c>
      <c r="G196" s="157">
        <f>+'PACK Prod'!D195</f>
        <v>26600</v>
      </c>
      <c r="H196" s="157">
        <f t="shared" si="22"/>
        <v>0</v>
      </c>
      <c r="I196" s="158">
        <f t="shared" si="23"/>
        <v>0</v>
      </c>
      <c r="J196" s="157">
        <f t="shared" si="24"/>
        <v>0</v>
      </c>
      <c r="K196" s="157">
        <v>26600</v>
      </c>
      <c r="L196" s="159">
        <f t="shared" si="25"/>
        <v>0</v>
      </c>
      <c r="M196" s="157">
        <v>0</v>
      </c>
    </row>
    <row r="197" spans="1:13" s="67" customFormat="1" ht="15.75" customHeight="1" x14ac:dyDescent="0.2">
      <c r="A197" s="48">
        <v>52</v>
      </c>
      <c r="B197" s="166" t="s">
        <v>592</v>
      </c>
      <c r="C197" s="166" t="s">
        <v>585</v>
      </c>
      <c r="D197" s="157">
        <v>0</v>
      </c>
      <c r="E197" s="157">
        <f>+'SMT KIT Rcvd '!D196</f>
        <v>0</v>
      </c>
      <c r="F197" s="157">
        <f>'Excise Dispatch '!D196</f>
        <v>0</v>
      </c>
      <c r="G197" s="157">
        <f>+'PACK Prod'!D196</f>
        <v>0</v>
      </c>
      <c r="H197" s="157">
        <f t="shared" si="22"/>
        <v>0</v>
      </c>
      <c r="I197" s="158">
        <f t="shared" si="23"/>
        <v>0</v>
      </c>
      <c r="J197" s="157">
        <f t="shared" si="24"/>
        <v>0</v>
      </c>
      <c r="K197" s="157">
        <v>0</v>
      </c>
      <c r="L197" s="159">
        <f t="shared" si="25"/>
        <v>0</v>
      </c>
      <c r="M197" s="157">
        <v>0</v>
      </c>
    </row>
    <row r="198" spans="1:13" s="67" customFormat="1" ht="15.75" customHeight="1" x14ac:dyDescent="0.2">
      <c r="A198" s="48">
        <v>53</v>
      </c>
      <c r="B198" s="166" t="s">
        <v>593</v>
      </c>
      <c r="C198" s="166" t="s">
        <v>586</v>
      </c>
      <c r="D198" s="157">
        <v>0</v>
      </c>
      <c r="E198" s="157">
        <f>+'SMT KIT Rcvd '!D197</f>
        <v>0</v>
      </c>
      <c r="F198" s="157">
        <f>'Excise Dispatch '!D197</f>
        <v>0</v>
      </c>
      <c r="G198" s="157">
        <f>+'PACK Prod'!D197</f>
        <v>0</v>
      </c>
      <c r="H198" s="157">
        <f t="shared" si="22"/>
        <v>0</v>
      </c>
      <c r="I198" s="158">
        <f t="shared" si="23"/>
        <v>0</v>
      </c>
      <c r="J198" s="157">
        <f t="shared" si="24"/>
        <v>0</v>
      </c>
      <c r="K198" s="157">
        <v>0</v>
      </c>
      <c r="L198" s="159">
        <f t="shared" si="25"/>
        <v>0</v>
      </c>
      <c r="M198" s="157">
        <v>0</v>
      </c>
    </row>
    <row r="199" spans="1:13" s="67" customFormat="1" ht="15.75" customHeight="1" x14ac:dyDescent="0.2">
      <c r="A199" s="48">
        <v>54</v>
      </c>
      <c r="B199" s="166" t="s">
        <v>594</v>
      </c>
      <c r="C199" s="166" t="s">
        <v>587</v>
      </c>
      <c r="D199" s="157">
        <v>0</v>
      </c>
      <c r="E199" s="157">
        <f>+'SMT KIT Rcvd '!D198</f>
        <v>1700</v>
      </c>
      <c r="F199" s="157">
        <f>'Excise Dispatch '!D198</f>
        <v>1700</v>
      </c>
      <c r="G199" s="157">
        <f>+'PACK Prod'!D198</f>
        <v>1700</v>
      </c>
      <c r="H199" s="157">
        <f t="shared" si="22"/>
        <v>0</v>
      </c>
      <c r="I199" s="158">
        <f t="shared" si="23"/>
        <v>0</v>
      </c>
      <c r="J199" s="157">
        <f t="shared" si="24"/>
        <v>0</v>
      </c>
      <c r="K199" s="157">
        <v>1700</v>
      </c>
      <c r="L199" s="159">
        <f t="shared" si="25"/>
        <v>0</v>
      </c>
      <c r="M199" s="157">
        <v>0</v>
      </c>
    </row>
    <row r="200" spans="1:13" s="67" customFormat="1" ht="15.75" customHeight="1" x14ac:dyDescent="0.2">
      <c r="A200" s="48">
        <v>55</v>
      </c>
      <c r="B200" s="166" t="s">
        <v>595</v>
      </c>
      <c r="C200" s="166" t="s">
        <v>588</v>
      </c>
      <c r="D200" s="157">
        <v>0</v>
      </c>
      <c r="E200" s="157">
        <f>+'SMT KIT Rcvd '!D199</f>
        <v>590</v>
      </c>
      <c r="F200" s="157">
        <f>'Excise Dispatch '!D199</f>
        <v>590</v>
      </c>
      <c r="G200" s="157">
        <f>+'PACK Prod'!D199</f>
        <v>590</v>
      </c>
      <c r="H200" s="157">
        <f t="shared" si="22"/>
        <v>0</v>
      </c>
      <c r="I200" s="158">
        <f t="shared" si="23"/>
        <v>0</v>
      </c>
      <c r="J200" s="157">
        <f t="shared" si="24"/>
        <v>0</v>
      </c>
      <c r="K200" s="157">
        <v>590</v>
      </c>
      <c r="L200" s="159">
        <f t="shared" si="25"/>
        <v>0</v>
      </c>
      <c r="M200" s="157">
        <v>0</v>
      </c>
    </row>
    <row r="201" spans="1:13" s="67" customFormat="1" ht="15.75" customHeight="1" x14ac:dyDescent="0.2">
      <c r="A201" s="48">
        <v>56</v>
      </c>
      <c r="B201" s="166" t="s">
        <v>596</v>
      </c>
      <c r="C201" s="166" t="s">
        <v>589</v>
      </c>
      <c r="D201" s="157">
        <v>0</v>
      </c>
      <c r="E201" s="157">
        <f>+'SMT KIT Rcvd '!D200</f>
        <v>260</v>
      </c>
      <c r="F201" s="157">
        <f>'Excise Dispatch '!D200</f>
        <v>260</v>
      </c>
      <c r="G201" s="157">
        <f>+'PACK Prod'!D200</f>
        <v>260</v>
      </c>
      <c r="H201" s="157">
        <f t="shared" si="22"/>
        <v>0</v>
      </c>
      <c r="I201" s="158">
        <f t="shared" si="23"/>
        <v>0</v>
      </c>
      <c r="J201" s="157">
        <f t="shared" si="24"/>
        <v>0</v>
      </c>
      <c r="K201" s="157">
        <v>260</v>
      </c>
      <c r="L201" s="159">
        <f t="shared" si="25"/>
        <v>0</v>
      </c>
      <c r="M201" s="157">
        <v>0</v>
      </c>
    </row>
    <row r="202" spans="1:13" s="67" customFormat="1" ht="15.75" customHeight="1" x14ac:dyDescent="0.2">
      <c r="A202" s="48">
        <v>57</v>
      </c>
      <c r="B202" s="166" t="s">
        <v>597</v>
      </c>
      <c r="C202" s="166" t="s">
        <v>590</v>
      </c>
      <c r="D202" s="157">
        <v>0</v>
      </c>
      <c r="E202" s="157">
        <f>+'SMT KIT Rcvd '!D201</f>
        <v>180</v>
      </c>
      <c r="F202" s="157">
        <f>'Excise Dispatch '!D201</f>
        <v>180</v>
      </c>
      <c r="G202" s="157">
        <f>+'PACK Prod'!D201</f>
        <v>180</v>
      </c>
      <c r="H202" s="157">
        <f t="shared" si="22"/>
        <v>0</v>
      </c>
      <c r="I202" s="158">
        <f t="shared" si="23"/>
        <v>0</v>
      </c>
      <c r="J202" s="157">
        <f t="shared" si="24"/>
        <v>0</v>
      </c>
      <c r="K202" s="157">
        <v>180</v>
      </c>
      <c r="L202" s="159">
        <f t="shared" si="25"/>
        <v>0</v>
      </c>
      <c r="M202" s="157">
        <v>0</v>
      </c>
    </row>
    <row r="203" spans="1:13" s="67" customFormat="1" ht="15.75" customHeight="1" x14ac:dyDescent="0.2">
      <c r="A203" s="48">
        <v>58</v>
      </c>
      <c r="B203" s="166" t="s">
        <v>598</v>
      </c>
      <c r="C203" s="166" t="s">
        <v>591</v>
      </c>
      <c r="D203" s="157">
        <v>0</v>
      </c>
      <c r="E203" s="157">
        <f>+'SMT KIT Rcvd '!D202</f>
        <v>0</v>
      </c>
      <c r="F203" s="157">
        <f>'Excise Dispatch '!D202</f>
        <v>0</v>
      </c>
      <c r="G203" s="157">
        <f>+'PACK Prod'!D202</f>
        <v>0</v>
      </c>
      <c r="H203" s="157">
        <f t="shared" si="22"/>
        <v>0</v>
      </c>
      <c r="I203" s="158">
        <f t="shared" si="23"/>
        <v>0</v>
      </c>
      <c r="J203" s="157">
        <f t="shared" si="24"/>
        <v>0</v>
      </c>
      <c r="K203" s="157">
        <v>0</v>
      </c>
      <c r="L203" s="159">
        <f t="shared" si="25"/>
        <v>0</v>
      </c>
      <c r="M203" s="157">
        <v>0</v>
      </c>
    </row>
    <row r="204" spans="1:13" s="67" customFormat="1" ht="15.75" customHeight="1" x14ac:dyDescent="0.2">
      <c r="A204" s="48">
        <v>59</v>
      </c>
      <c r="B204" s="166" t="s">
        <v>445</v>
      </c>
      <c r="C204" s="166" t="s">
        <v>444</v>
      </c>
      <c r="D204" s="157">
        <v>0</v>
      </c>
      <c r="E204" s="157">
        <f>+'SMT KIT Rcvd '!D203</f>
        <v>0</v>
      </c>
      <c r="F204" s="157">
        <f>'Excise Dispatch '!D203</f>
        <v>0</v>
      </c>
      <c r="G204" s="157">
        <f>+'PACK Prod'!D203</f>
        <v>0</v>
      </c>
      <c r="H204" s="157">
        <f t="shared" si="22"/>
        <v>0</v>
      </c>
      <c r="I204" s="158">
        <f t="shared" si="23"/>
        <v>0</v>
      </c>
      <c r="J204" s="157">
        <f t="shared" si="24"/>
        <v>0</v>
      </c>
      <c r="K204" s="157">
        <v>0</v>
      </c>
      <c r="L204" s="159">
        <f t="shared" si="25"/>
        <v>0</v>
      </c>
      <c r="M204" s="157">
        <v>0</v>
      </c>
    </row>
    <row r="205" spans="1:13" s="67" customFormat="1" ht="15.75" customHeight="1" x14ac:dyDescent="0.2">
      <c r="A205" s="48">
        <v>60</v>
      </c>
      <c r="B205" s="166" t="s">
        <v>605</v>
      </c>
      <c r="C205" s="166" t="s">
        <v>599</v>
      </c>
      <c r="D205" s="157">
        <v>0</v>
      </c>
      <c r="E205" s="157">
        <f>+'SMT KIT Rcvd '!D204</f>
        <v>0</v>
      </c>
      <c r="F205" s="157">
        <f>'Excise Dispatch '!D204</f>
        <v>0</v>
      </c>
      <c r="G205" s="157">
        <f>+'PACK Prod'!D204</f>
        <v>0</v>
      </c>
      <c r="H205" s="157">
        <f t="shared" si="22"/>
        <v>0</v>
      </c>
      <c r="I205" s="158">
        <f t="shared" si="23"/>
        <v>0</v>
      </c>
      <c r="J205" s="157">
        <f t="shared" si="24"/>
        <v>0</v>
      </c>
      <c r="K205" s="157">
        <v>0</v>
      </c>
      <c r="L205" s="159">
        <f t="shared" si="25"/>
        <v>0</v>
      </c>
      <c r="M205" s="157">
        <v>0</v>
      </c>
    </row>
    <row r="206" spans="1:13" s="67" customFormat="1" ht="15.75" customHeight="1" x14ac:dyDescent="0.2">
      <c r="A206" s="48">
        <v>61</v>
      </c>
      <c r="B206" s="166" t="s">
        <v>606</v>
      </c>
      <c r="C206" s="166" t="s">
        <v>600</v>
      </c>
      <c r="D206" s="157">
        <v>0</v>
      </c>
      <c r="E206" s="157">
        <f>+'SMT KIT Rcvd '!D205</f>
        <v>0</v>
      </c>
      <c r="F206" s="157">
        <f>'Excise Dispatch '!D205</f>
        <v>0</v>
      </c>
      <c r="G206" s="157">
        <f>+'PACK Prod'!D205</f>
        <v>0</v>
      </c>
      <c r="H206" s="157">
        <f t="shared" si="22"/>
        <v>0</v>
      </c>
      <c r="I206" s="158">
        <f t="shared" si="23"/>
        <v>0</v>
      </c>
      <c r="J206" s="157">
        <f t="shared" si="24"/>
        <v>0</v>
      </c>
      <c r="K206" s="157">
        <v>0</v>
      </c>
      <c r="L206" s="159">
        <f t="shared" si="25"/>
        <v>0</v>
      </c>
      <c r="M206" s="157">
        <v>0</v>
      </c>
    </row>
    <row r="207" spans="1:13" s="67" customFormat="1" ht="15.75" customHeight="1" x14ac:dyDescent="0.2">
      <c r="A207" s="48">
        <v>62</v>
      </c>
      <c r="B207" s="166" t="s">
        <v>607</v>
      </c>
      <c r="C207" s="166" t="s">
        <v>601</v>
      </c>
      <c r="D207" s="157">
        <v>0</v>
      </c>
      <c r="E207" s="157">
        <f>+'SMT KIT Rcvd '!D206</f>
        <v>720</v>
      </c>
      <c r="F207" s="157">
        <f>'Excise Dispatch '!D206</f>
        <v>720</v>
      </c>
      <c r="G207" s="157">
        <f>+'PACK Prod'!D206</f>
        <v>720</v>
      </c>
      <c r="H207" s="157">
        <f t="shared" si="22"/>
        <v>0</v>
      </c>
      <c r="I207" s="158">
        <f t="shared" si="23"/>
        <v>0</v>
      </c>
      <c r="J207" s="157">
        <f t="shared" si="24"/>
        <v>0</v>
      </c>
      <c r="K207" s="157">
        <v>720</v>
      </c>
      <c r="L207" s="159">
        <f t="shared" si="25"/>
        <v>0</v>
      </c>
      <c r="M207" s="157">
        <v>0</v>
      </c>
    </row>
    <row r="208" spans="1:13" s="67" customFormat="1" ht="15.75" customHeight="1" x14ac:dyDescent="0.2">
      <c r="A208" s="48">
        <v>63</v>
      </c>
      <c r="B208" s="166" t="s">
        <v>608</v>
      </c>
      <c r="C208" s="166" t="s">
        <v>602</v>
      </c>
      <c r="D208" s="157">
        <v>0</v>
      </c>
      <c r="E208" s="157">
        <f>+'SMT KIT Rcvd '!D207</f>
        <v>0</v>
      </c>
      <c r="F208" s="157">
        <f>'Excise Dispatch '!D207</f>
        <v>0</v>
      </c>
      <c r="G208" s="157">
        <f>+'PACK Prod'!D207</f>
        <v>0</v>
      </c>
      <c r="H208" s="157">
        <f t="shared" si="22"/>
        <v>0</v>
      </c>
      <c r="I208" s="158">
        <f t="shared" si="23"/>
        <v>0</v>
      </c>
      <c r="J208" s="157">
        <f t="shared" si="24"/>
        <v>0</v>
      </c>
      <c r="K208" s="157">
        <v>0</v>
      </c>
      <c r="L208" s="159">
        <f t="shared" si="25"/>
        <v>0</v>
      </c>
      <c r="M208" s="157">
        <v>0</v>
      </c>
    </row>
    <row r="209" spans="1:13" s="67" customFormat="1" ht="15.75" customHeight="1" x14ac:dyDescent="0.2">
      <c r="A209" s="48">
        <v>64</v>
      </c>
      <c r="B209" s="166" t="s">
        <v>609</v>
      </c>
      <c r="C209" s="166" t="s">
        <v>603</v>
      </c>
      <c r="D209" s="157">
        <v>0</v>
      </c>
      <c r="E209" s="157">
        <f>+'SMT KIT Rcvd '!D208</f>
        <v>9600</v>
      </c>
      <c r="F209" s="157">
        <f>'Excise Dispatch '!D208</f>
        <v>9600</v>
      </c>
      <c r="G209" s="157">
        <f>+'PACK Prod'!D208</f>
        <v>9600</v>
      </c>
      <c r="H209" s="157">
        <f t="shared" si="22"/>
        <v>0</v>
      </c>
      <c r="I209" s="158">
        <f t="shared" si="23"/>
        <v>0</v>
      </c>
      <c r="J209" s="157">
        <f t="shared" si="24"/>
        <v>0</v>
      </c>
      <c r="K209" s="157">
        <v>9600</v>
      </c>
      <c r="L209" s="159">
        <f t="shared" si="25"/>
        <v>0</v>
      </c>
      <c r="M209" s="157">
        <v>0</v>
      </c>
    </row>
    <row r="210" spans="1:13" s="67" customFormat="1" ht="15.75" customHeight="1" x14ac:dyDescent="0.2">
      <c r="A210" s="48">
        <v>65</v>
      </c>
      <c r="B210" s="166" t="s">
        <v>610</v>
      </c>
      <c r="C210" s="166" t="s">
        <v>604</v>
      </c>
      <c r="D210" s="157">
        <v>0</v>
      </c>
      <c r="E210" s="157">
        <f>+'SMT KIT Rcvd '!D209</f>
        <v>680</v>
      </c>
      <c r="F210" s="157">
        <f>'Excise Dispatch '!D209</f>
        <v>680</v>
      </c>
      <c r="G210" s="157">
        <f>+'PACK Prod'!D209</f>
        <v>680</v>
      </c>
      <c r="H210" s="157">
        <f t="shared" si="22"/>
        <v>0</v>
      </c>
      <c r="I210" s="158">
        <f t="shared" si="23"/>
        <v>0</v>
      </c>
      <c r="J210" s="157">
        <f t="shared" si="24"/>
        <v>0</v>
      </c>
      <c r="K210" s="157">
        <v>680</v>
      </c>
      <c r="L210" s="159">
        <f t="shared" si="25"/>
        <v>0</v>
      </c>
      <c r="M210" s="157">
        <v>0</v>
      </c>
    </row>
    <row r="211" spans="1:13" s="67" customFormat="1" ht="15.75" customHeight="1" x14ac:dyDescent="0.2">
      <c r="A211" s="48">
        <v>66</v>
      </c>
      <c r="B211" s="166" t="s">
        <v>300</v>
      </c>
      <c r="C211" s="166" t="s">
        <v>299</v>
      </c>
      <c r="D211" s="157">
        <v>0</v>
      </c>
      <c r="E211" s="157">
        <f>+'SMT KIT Rcvd '!D210</f>
        <v>500</v>
      </c>
      <c r="F211" s="157">
        <f>'Excise Dispatch '!D210</f>
        <v>500</v>
      </c>
      <c r="G211" s="157">
        <f>+'PACK Prod'!D210</f>
        <v>500</v>
      </c>
      <c r="H211" s="157">
        <f t="shared" si="22"/>
        <v>0</v>
      </c>
      <c r="I211" s="158">
        <f t="shared" si="23"/>
        <v>0</v>
      </c>
      <c r="J211" s="157">
        <f t="shared" si="24"/>
        <v>0</v>
      </c>
      <c r="K211" s="157">
        <v>500</v>
      </c>
      <c r="L211" s="159">
        <f t="shared" si="25"/>
        <v>0</v>
      </c>
      <c r="M211" s="157">
        <v>0</v>
      </c>
    </row>
    <row r="212" spans="1:13" s="67" customFormat="1" ht="15.75" customHeight="1" x14ac:dyDescent="0.2">
      <c r="A212" s="48">
        <v>67</v>
      </c>
      <c r="B212" s="176" t="s">
        <v>944</v>
      </c>
      <c r="C212" s="176" t="s">
        <v>934</v>
      </c>
      <c r="D212" s="157">
        <v>0</v>
      </c>
      <c r="E212" s="157">
        <f>+'SMT KIT Rcvd '!D211</f>
        <v>4852</v>
      </c>
      <c r="F212" s="157">
        <f>'Excise Dispatch '!D211</f>
        <v>4852</v>
      </c>
      <c r="G212" s="157">
        <f>+'PACK Prod'!D211</f>
        <v>4852</v>
      </c>
      <c r="H212" s="157">
        <f t="shared" si="22"/>
        <v>0</v>
      </c>
      <c r="I212" s="158">
        <f t="shared" si="23"/>
        <v>0</v>
      </c>
      <c r="J212" s="157">
        <f t="shared" si="24"/>
        <v>0</v>
      </c>
      <c r="K212" s="157">
        <v>4852</v>
      </c>
      <c r="L212" s="159">
        <f t="shared" si="25"/>
        <v>0</v>
      </c>
      <c r="M212" s="157">
        <v>0</v>
      </c>
    </row>
    <row r="213" spans="1:13" s="67" customFormat="1" ht="15.75" customHeight="1" x14ac:dyDescent="0.2">
      <c r="A213" s="48">
        <v>68</v>
      </c>
      <c r="B213" s="176" t="s">
        <v>945</v>
      </c>
      <c r="C213" s="176" t="s">
        <v>935</v>
      </c>
      <c r="D213" s="157">
        <v>0</v>
      </c>
      <c r="E213" s="157">
        <f>+'SMT KIT Rcvd '!D212</f>
        <v>4790</v>
      </c>
      <c r="F213" s="157">
        <f>'Excise Dispatch '!D212</f>
        <v>4790</v>
      </c>
      <c r="G213" s="157">
        <f>+'PACK Prod'!D212</f>
        <v>4790</v>
      </c>
      <c r="H213" s="157">
        <f t="shared" si="22"/>
        <v>0</v>
      </c>
      <c r="I213" s="158">
        <f t="shared" si="23"/>
        <v>0</v>
      </c>
      <c r="J213" s="157">
        <f t="shared" si="24"/>
        <v>0</v>
      </c>
      <c r="K213" s="157">
        <v>4790</v>
      </c>
      <c r="L213" s="159">
        <f t="shared" si="25"/>
        <v>0</v>
      </c>
      <c r="M213" s="157">
        <v>0</v>
      </c>
    </row>
    <row r="214" spans="1:13" s="67" customFormat="1" ht="15.75" customHeight="1" x14ac:dyDescent="0.2">
      <c r="A214" s="48">
        <v>69</v>
      </c>
      <c r="B214" s="176" t="s">
        <v>946</v>
      </c>
      <c r="C214" s="176" t="s">
        <v>936</v>
      </c>
      <c r="D214" s="157">
        <v>0</v>
      </c>
      <c r="E214" s="157">
        <f>+'SMT KIT Rcvd '!D213</f>
        <v>0</v>
      </c>
      <c r="F214" s="157">
        <f>'Excise Dispatch '!D213</f>
        <v>0</v>
      </c>
      <c r="G214" s="157">
        <f>+'PACK Prod'!D213</f>
        <v>0</v>
      </c>
      <c r="H214" s="157">
        <f t="shared" si="22"/>
        <v>0</v>
      </c>
      <c r="I214" s="158">
        <f t="shared" si="23"/>
        <v>0</v>
      </c>
      <c r="J214" s="157">
        <f t="shared" si="24"/>
        <v>0</v>
      </c>
      <c r="K214" s="157">
        <v>0</v>
      </c>
      <c r="L214" s="159">
        <f t="shared" si="25"/>
        <v>0</v>
      </c>
      <c r="M214" s="157">
        <v>0</v>
      </c>
    </row>
    <row r="215" spans="1:13" s="67" customFormat="1" ht="15.75" customHeight="1" x14ac:dyDescent="0.2">
      <c r="A215" s="48">
        <v>70</v>
      </c>
      <c r="B215" s="176" t="s">
        <v>947</v>
      </c>
      <c r="C215" s="176" t="s">
        <v>937</v>
      </c>
      <c r="D215" s="157">
        <v>0</v>
      </c>
      <c r="E215" s="157">
        <f>+'SMT KIT Rcvd '!D214</f>
        <v>50</v>
      </c>
      <c r="F215" s="157">
        <f>'Excise Dispatch '!D214</f>
        <v>50</v>
      </c>
      <c r="G215" s="157">
        <f>+'PACK Prod'!D214</f>
        <v>50</v>
      </c>
      <c r="H215" s="157">
        <f t="shared" si="22"/>
        <v>0</v>
      </c>
      <c r="I215" s="158">
        <f t="shared" si="23"/>
        <v>0</v>
      </c>
      <c r="J215" s="157">
        <f t="shared" si="24"/>
        <v>0</v>
      </c>
      <c r="K215" s="157">
        <v>50</v>
      </c>
      <c r="L215" s="159">
        <f t="shared" si="25"/>
        <v>0</v>
      </c>
      <c r="M215" s="157">
        <v>0</v>
      </c>
    </row>
    <row r="216" spans="1:13" s="67" customFormat="1" ht="15.75" customHeight="1" x14ac:dyDescent="0.2">
      <c r="A216" s="48">
        <v>71</v>
      </c>
      <c r="B216" s="176" t="s">
        <v>948</v>
      </c>
      <c r="C216" s="176" t="s">
        <v>938</v>
      </c>
      <c r="D216" s="157">
        <v>0</v>
      </c>
      <c r="E216" s="157">
        <f>+'SMT KIT Rcvd '!D215</f>
        <v>50</v>
      </c>
      <c r="F216" s="157">
        <f>'Excise Dispatch '!D215</f>
        <v>50</v>
      </c>
      <c r="G216" s="157">
        <f>+'PACK Prod'!D215</f>
        <v>50</v>
      </c>
      <c r="H216" s="157">
        <f t="shared" si="22"/>
        <v>0</v>
      </c>
      <c r="I216" s="158">
        <f t="shared" si="23"/>
        <v>0</v>
      </c>
      <c r="J216" s="157">
        <f t="shared" si="24"/>
        <v>0</v>
      </c>
      <c r="K216" s="157">
        <v>50</v>
      </c>
      <c r="L216" s="159">
        <f t="shared" si="25"/>
        <v>0</v>
      </c>
      <c r="M216" s="157">
        <v>0</v>
      </c>
    </row>
    <row r="217" spans="1:13" s="67" customFormat="1" ht="15.75" customHeight="1" x14ac:dyDescent="0.2">
      <c r="A217" s="48">
        <v>72</v>
      </c>
      <c r="B217" s="176" t="s">
        <v>949</v>
      </c>
      <c r="C217" s="176" t="s">
        <v>939</v>
      </c>
      <c r="D217" s="157">
        <v>0</v>
      </c>
      <c r="E217" s="157">
        <f>+'SMT KIT Rcvd '!D216</f>
        <v>50</v>
      </c>
      <c r="F217" s="157">
        <f>'Excise Dispatch '!D216</f>
        <v>50</v>
      </c>
      <c r="G217" s="157">
        <f>+'PACK Prod'!D216</f>
        <v>50</v>
      </c>
      <c r="H217" s="157">
        <f t="shared" si="22"/>
        <v>0</v>
      </c>
      <c r="I217" s="158">
        <f t="shared" si="23"/>
        <v>0</v>
      </c>
      <c r="J217" s="157">
        <f t="shared" si="24"/>
        <v>0</v>
      </c>
      <c r="K217" s="157">
        <v>50</v>
      </c>
      <c r="L217" s="159">
        <f t="shared" si="25"/>
        <v>0</v>
      </c>
      <c r="M217" s="157">
        <v>0</v>
      </c>
    </row>
    <row r="218" spans="1:13" s="67" customFormat="1" ht="15.75" customHeight="1" x14ac:dyDescent="0.2">
      <c r="A218" s="48">
        <v>73</v>
      </c>
      <c r="B218" s="176" t="s">
        <v>950</v>
      </c>
      <c r="C218" s="176" t="s">
        <v>940</v>
      </c>
      <c r="D218" s="157">
        <v>0</v>
      </c>
      <c r="E218" s="157">
        <f>+'SMT KIT Rcvd '!D217</f>
        <v>0</v>
      </c>
      <c r="F218" s="157">
        <f>'Excise Dispatch '!D217</f>
        <v>0</v>
      </c>
      <c r="G218" s="157">
        <f>+'PACK Prod'!D217</f>
        <v>0</v>
      </c>
      <c r="H218" s="157">
        <f t="shared" si="22"/>
        <v>0</v>
      </c>
      <c r="I218" s="158">
        <f t="shared" si="23"/>
        <v>0</v>
      </c>
      <c r="J218" s="157">
        <f t="shared" si="24"/>
        <v>0</v>
      </c>
      <c r="K218" s="157">
        <v>0</v>
      </c>
      <c r="L218" s="159">
        <f t="shared" si="25"/>
        <v>0</v>
      </c>
      <c r="M218" s="157">
        <v>0</v>
      </c>
    </row>
    <row r="219" spans="1:13" s="67" customFormat="1" ht="15.75" customHeight="1" x14ac:dyDescent="0.2">
      <c r="A219" s="48">
        <v>74</v>
      </c>
      <c r="B219" s="176" t="s">
        <v>951</v>
      </c>
      <c r="C219" s="176" t="s">
        <v>941</v>
      </c>
      <c r="D219" s="157">
        <v>0</v>
      </c>
      <c r="E219" s="157">
        <f>+'SMT KIT Rcvd '!D218</f>
        <v>250</v>
      </c>
      <c r="F219" s="157">
        <f>'Excise Dispatch '!D218</f>
        <v>250</v>
      </c>
      <c r="G219" s="157">
        <f>+'PACK Prod'!D218</f>
        <v>250</v>
      </c>
      <c r="H219" s="157">
        <f t="shared" si="22"/>
        <v>0</v>
      </c>
      <c r="I219" s="158">
        <f t="shared" si="23"/>
        <v>0</v>
      </c>
      <c r="J219" s="157">
        <f t="shared" si="24"/>
        <v>0</v>
      </c>
      <c r="K219" s="157">
        <v>250</v>
      </c>
      <c r="L219" s="159">
        <f t="shared" si="25"/>
        <v>0</v>
      </c>
      <c r="M219" s="157">
        <v>0</v>
      </c>
    </row>
    <row r="220" spans="1:13" s="67" customFormat="1" ht="15.75" customHeight="1" x14ac:dyDescent="0.2">
      <c r="A220" s="48">
        <v>75</v>
      </c>
      <c r="B220" s="176" t="s">
        <v>952</v>
      </c>
      <c r="C220" s="176" t="s">
        <v>942</v>
      </c>
      <c r="D220" s="157">
        <v>0</v>
      </c>
      <c r="E220" s="157">
        <f>+'SMT KIT Rcvd '!D219</f>
        <v>250</v>
      </c>
      <c r="F220" s="157">
        <f>'Excise Dispatch '!D219</f>
        <v>250</v>
      </c>
      <c r="G220" s="157">
        <f>+'PACK Prod'!D219</f>
        <v>250</v>
      </c>
      <c r="H220" s="157">
        <f t="shared" ref="H220:H283" si="26">D220+E220-F220</f>
        <v>0</v>
      </c>
      <c r="I220" s="158">
        <f t="shared" ref="I220:I283" si="27">G220+M220-F220</f>
        <v>0</v>
      </c>
      <c r="J220" s="157">
        <f t="shared" si="24"/>
        <v>0</v>
      </c>
      <c r="K220" s="157">
        <v>250</v>
      </c>
      <c r="L220" s="159">
        <f t="shared" si="25"/>
        <v>0</v>
      </c>
      <c r="M220" s="157">
        <v>0</v>
      </c>
    </row>
    <row r="221" spans="1:13" s="67" customFormat="1" ht="15.75" customHeight="1" x14ac:dyDescent="0.2">
      <c r="A221" s="48">
        <v>76</v>
      </c>
      <c r="B221" s="176" t="s">
        <v>953</v>
      </c>
      <c r="C221" s="176" t="s">
        <v>943</v>
      </c>
      <c r="D221" s="157">
        <v>50</v>
      </c>
      <c r="E221" s="157">
        <f>+'SMT KIT Rcvd '!D220</f>
        <v>250</v>
      </c>
      <c r="F221" s="157">
        <f>'Excise Dispatch '!D220</f>
        <v>300</v>
      </c>
      <c r="G221" s="157">
        <f>+'PACK Prod'!D220</f>
        <v>250</v>
      </c>
      <c r="H221" s="157">
        <f t="shared" si="26"/>
        <v>0</v>
      </c>
      <c r="I221" s="158">
        <f t="shared" si="27"/>
        <v>0</v>
      </c>
      <c r="J221" s="157">
        <f t="shared" si="24"/>
        <v>0</v>
      </c>
      <c r="K221" s="157">
        <v>250</v>
      </c>
      <c r="L221" s="159">
        <f t="shared" si="25"/>
        <v>-50</v>
      </c>
      <c r="M221" s="157">
        <v>50</v>
      </c>
    </row>
    <row r="222" spans="1:13" s="67" customFormat="1" ht="15.75" customHeight="1" x14ac:dyDescent="0.2">
      <c r="A222" s="48">
        <v>77</v>
      </c>
      <c r="B222" s="166" t="s">
        <v>185</v>
      </c>
      <c r="C222" s="166" t="s">
        <v>184</v>
      </c>
      <c r="D222" s="157">
        <v>0</v>
      </c>
      <c r="E222" s="157">
        <f>+'SMT KIT Rcvd '!D221</f>
        <v>55000</v>
      </c>
      <c r="F222" s="157">
        <f>'Excise Dispatch '!D221</f>
        <v>55000</v>
      </c>
      <c r="G222" s="157">
        <f>+'PACK Prod'!D221</f>
        <v>55000</v>
      </c>
      <c r="H222" s="157">
        <f t="shared" si="26"/>
        <v>0</v>
      </c>
      <c r="I222" s="158">
        <f t="shared" si="27"/>
        <v>0</v>
      </c>
      <c r="J222" s="157">
        <f t="shared" si="24"/>
        <v>0</v>
      </c>
      <c r="K222" s="157">
        <v>55000</v>
      </c>
      <c r="L222" s="159">
        <f t="shared" si="25"/>
        <v>0</v>
      </c>
      <c r="M222" s="157">
        <v>0</v>
      </c>
    </row>
    <row r="223" spans="1:13" s="67" customFormat="1" ht="15.75" customHeight="1" x14ac:dyDescent="0.2">
      <c r="A223" s="48">
        <v>78</v>
      </c>
      <c r="B223" s="176" t="s">
        <v>955</v>
      </c>
      <c r="C223" s="176" t="s">
        <v>954</v>
      </c>
      <c r="D223" s="157">
        <v>50</v>
      </c>
      <c r="E223" s="157">
        <f>+'SMT KIT Rcvd '!D222</f>
        <v>240</v>
      </c>
      <c r="F223" s="157">
        <f>'Excise Dispatch '!D222</f>
        <v>290</v>
      </c>
      <c r="G223" s="157">
        <f>+'PACK Prod'!D222</f>
        <v>240</v>
      </c>
      <c r="H223" s="157">
        <f t="shared" si="26"/>
        <v>0</v>
      </c>
      <c r="I223" s="158">
        <f t="shared" si="27"/>
        <v>0</v>
      </c>
      <c r="J223" s="157">
        <f t="shared" si="24"/>
        <v>0</v>
      </c>
      <c r="K223" s="157">
        <v>240</v>
      </c>
      <c r="L223" s="159">
        <f t="shared" ref="L223:L286" si="28">K223-D223-E223</f>
        <v>-50</v>
      </c>
      <c r="M223" s="157">
        <v>50</v>
      </c>
    </row>
    <row r="224" spans="1:13" s="67" customFormat="1" ht="15.75" customHeight="1" x14ac:dyDescent="0.2">
      <c r="A224" s="48">
        <v>79</v>
      </c>
      <c r="B224" s="176" t="s">
        <v>1198</v>
      </c>
      <c r="C224" s="176" t="s">
        <v>1197</v>
      </c>
      <c r="D224" s="157">
        <v>0</v>
      </c>
      <c r="E224" s="157">
        <f>+'SMT KIT Rcvd '!D223</f>
        <v>1500</v>
      </c>
      <c r="F224" s="157">
        <f>'Excise Dispatch '!D223</f>
        <v>1500</v>
      </c>
      <c r="G224" s="157">
        <f>+'PACK Prod'!D223</f>
        <v>1500</v>
      </c>
      <c r="H224" s="157">
        <f t="shared" si="26"/>
        <v>0</v>
      </c>
      <c r="I224" s="158">
        <f t="shared" si="27"/>
        <v>0</v>
      </c>
      <c r="J224" s="157">
        <f t="shared" si="24"/>
        <v>0</v>
      </c>
      <c r="K224" s="157">
        <v>1500</v>
      </c>
      <c r="L224" s="159">
        <f t="shared" si="28"/>
        <v>0</v>
      </c>
      <c r="M224" s="157">
        <v>0</v>
      </c>
    </row>
    <row r="225" spans="1:13" s="67" customFormat="1" ht="15.75" customHeight="1" x14ac:dyDescent="0.2">
      <c r="A225" s="48">
        <v>80</v>
      </c>
      <c r="B225" s="176" t="s">
        <v>1200</v>
      </c>
      <c r="C225" s="176" t="s">
        <v>1199</v>
      </c>
      <c r="D225" s="157">
        <v>0</v>
      </c>
      <c r="E225" s="157">
        <f>+'SMT KIT Rcvd '!D224</f>
        <v>60</v>
      </c>
      <c r="F225" s="157">
        <f>'Excise Dispatch '!D224</f>
        <v>60</v>
      </c>
      <c r="G225" s="157">
        <f>+'PACK Prod'!D224</f>
        <v>60</v>
      </c>
      <c r="H225" s="157">
        <f t="shared" si="26"/>
        <v>0</v>
      </c>
      <c r="I225" s="158">
        <f t="shared" si="27"/>
        <v>0</v>
      </c>
      <c r="J225" s="157">
        <f t="shared" si="24"/>
        <v>0</v>
      </c>
      <c r="K225" s="157">
        <v>60</v>
      </c>
      <c r="L225" s="159">
        <f t="shared" si="28"/>
        <v>0</v>
      </c>
      <c r="M225" s="157">
        <v>0</v>
      </c>
    </row>
    <row r="226" spans="1:13" s="67" customFormat="1" ht="15.75" customHeight="1" x14ac:dyDescent="0.2">
      <c r="A226" s="48">
        <v>81</v>
      </c>
      <c r="B226" s="176" t="s">
        <v>1204</v>
      </c>
      <c r="C226" s="176" t="s">
        <v>1201</v>
      </c>
      <c r="D226" s="157">
        <v>0</v>
      </c>
      <c r="E226" s="157">
        <f>+'SMT KIT Rcvd '!D225</f>
        <v>240</v>
      </c>
      <c r="F226" s="157">
        <f>'Excise Dispatch '!D225</f>
        <v>240</v>
      </c>
      <c r="G226" s="157">
        <f>+'PACK Prod'!D225</f>
        <v>240</v>
      </c>
      <c r="H226" s="157">
        <f t="shared" si="26"/>
        <v>0</v>
      </c>
      <c r="I226" s="158">
        <f t="shared" si="27"/>
        <v>0</v>
      </c>
      <c r="J226" s="157">
        <f t="shared" si="24"/>
        <v>0</v>
      </c>
      <c r="K226" s="157">
        <v>240</v>
      </c>
      <c r="L226" s="159">
        <f t="shared" si="28"/>
        <v>0</v>
      </c>
      <c r="M226" s="157">
        <v>0</v>
      </c>
    </row>
    <row r="227" spans="1:13" s="67" customFormat="1" ht="15.75" customHeight="1" x14ac:dyDescent="0.2">
      <c r="A227" s="48">
        <v>82</v>
      </c>
      <c r="B227" s="176" t="s">
        <v>1205</v>
      </c>
      <c r="C227" s="176" t="s">
        <v>1202</v>
      </c>
      <c r="D227" s="157">
        <v>0</v>
      </c>
      <c r="E227" s="157">
        <f>+'SMT KIT Rcvd '!D226</f>
        <v>240</v>
      </c>
      <c r="F227" s="157">
        <f>'Excise Dispatch '!D226</f>
        <v>240</v>
      </c>
      <c r="G227" s="157">
        <f>+'PACK Prod'!D226</f>
        <v>240</v>
      </c>
      <c r="H227" s="157">
        <f t="shared" si="26"/>
        <v>0</v>
      </c>
      <c r="I227" s="158">
        <f t="shared" si="27"/>
        <v>0</v>
      </c>
      <c r="J227" s="157">
        <f t="shared" si="24"/>
        <v>0</v>
      </c>
      <c r="K227" s="157">
        <v>240</v>
      </c>
      <c r="L227" s="159">
        <f t="shared" si="28"/>
        <v>0</v>
      </c>
      <c r="M227" s="157">
        <v>0</v>
      </c>
    </row>
    <row r="228" spans="1:13" s="67" customFormat="1" ht="15.75" customHeight="1" x14ac:dyDescent="0.2">
      <c r="A228" s="48">
        <v>83</v>
      </c>
      <c r="B228" s="176" t="s">
        <v>1206</v>
      </c>
      <c r="C228" s="176" t="s">
        <v>1203</v>
      </c>
      <c r="D228" s="157">
        <v>0</v>
      </c>
      <c r="E228" s="157">
        <f>+'SMT KIT Rcvd '!D227</f>
        <v>240</v>
      </c>
      <c r="F228" s="157">
        <f>'Excise Dispatch '!D227</f>
        <v>240</v>
      </c>
      <c r="G228" s="157">
        <f>+'PACK Prod'!D227</f>
        <v>240</v>
      </c>
      <c r="H228" s="157">
        <f t="shared" si="26"/>
        <v>0</v>
      </c>
      <c r="I228" s="158">
        <f t="shared" si="27"/>
        <v>0</v>
      </c>
      <c r="J228" s="157">
        <f t="shared" si="24"/>
        <v>0</v>
      </c>
      <c r="K228" s="157">
        <v>240</v>
      </c>
      <c r="L228" s="159">
        <f t="shared" si="28"/>
        <v>0</v>
      </c>
      <c r="M228" s="157">
        <v>0</v>
      </c>
    </row>
    <row r="229" spans="1:13" s="67" customFormat="1" ht="15.75" customHeight="1" x14ac:dyDescent="0.2">
      <c r="A229" s="48">
        <v>84</v>
      </c>
      <c r="B229" s="166" t="s">
        <v>776</v>
      </c>
      <c r="C229" s="166" t="s">
        <v>775</v>
      </c>
      <c r="D229" s="157">
        <v>11</v>
      </c>
      <c r="E229" s="157">
        <f>+'SMT KIT Rcvd '!D228</f>
        <v>0</v>
      </c>
      <c r="F229" s="157">
        <f>'Excise Dispatch '!D228</f>
        <v>11</v>
      </c>
      <c r="G229" s="157">
        <f>+'PACK Prod'!D228</f>
        <v>0</v>
      </c>
      <c r="H229" s="157">
        <f t="shared" si="26"/>
        <v>0</v>
      </c>
      <c r="I229" s="158">
        <f t="shared" si="27"/>
        <v>0</v>
      </c>
      <c r="J229" s="157">
        <f t="shared" si="24"/>
        <v>0</v>
      </c>
      <c r="K229" s="157">
        <v>0</v>
      </c>
      <c r="L229" s="159">
        <f t="shared" si="28"/>
        <v>-11</v>
      </c>
      <c r="M229" s="157">
        <v>11</v>
      </c>
    </row>
    <row r="230" spans="1:13" s="67" customFormat="1" ht="15.75" customHeight="1" x14ac:dyDescent="0.2">
      <c r="A230" s="48">
        <v>85</v>
      </c>
      <c r="B230" s="176" t="s">
        <v>1211</v>
      </c>
      <c r="C230" s="176" t="s">
        <v>1207</v>
      </c>
      <c r="D230" s="157">
        <v>0</v>
      </c>
      <c r="E230" s="157">
        <f>+'SMT KIT Rcvd '!D229</f>
        <v>60</v>
      </c>
      <c r="F230" s="157">
        <f>'Excise Dispatch '!D229</f>
        <v>60</v>
      </c>
      <c r="G230" s="157">
        <f>+'PACK Prod'!D229</f>
        <v>60</v>
      </c>
      <c r="H230" s="157">
        <f t="shared" si="26"/>
        <v>0</v>
      </c>
      <c r="I230" s="158">
        <f t="shared" si="27"/>
        <v>0</v>
      </c>
      <c r="J230" s="157">
        <f t="shared" si="24"/>
        <v>0</v>
      </c>
      <c r="K230" s="157">
        <v>60</v>
      </c>
      <c r="L230" s="159">
        <f t="shared" si="28"/>
        <v>0</v>
      </c>
      <c r="M230" s="157">
        <v>0</v>
      </c>
    </row>
    <row r="231" spans="1:13" s="67" customFormat="1" ht="15.75" customHeight="1" x14ac:dyDescent="0.2">
      <c r="A231" s="48">
        <v>86</v>
      </c>
      <c r="B231" s="176" t="s">
        <v>1212</v>
      </c>
      <c r="C231" s="176" t="s">
        <v>1208</v>
      </c>
      <c r="D231" s="157">
        <v>0</v>
      </c>
      <c r="E231" s="157">
        <f>+'SMT KIT Rcvd '!D230</f>
        <v>60</v>
      </c>
      <c r="F231" s="157">
        <f>'Excise Dispatch '!D230</f>
        <v>60</v>
      </c>
      <c r="G231" s="157">
        <f>+'PACK Prod'!D230</f>
        <v>60</v>
      </c>
      <c r="H231" s="157">
        <f t="shared" si="26"/>
        <v>0</v>
      </c>
      <c r="I231" s="158">
        <f t="shared" si="27"/>
        <v>0</v>
      </c>
      <c r="J231" s="157">
        <f t="shared" si="24"/>
        <v>0</v>
      </c>
      <c r="K231" s="157">
        <v>60</v>
      </c>
      <c r="L231" s="159">
        <f t="shared" si="28"/>
        <v>0</v>
      </c>
      <c r="M231" s="157">
        <v>0</v>
      </c>
    </row>
    <row r="232" spans="1:13" s="67" customFormat="1" ht="15.75" customHeight="1" x14ac:dyDescent="0.2">
      <c r="A232" s="48">
        <v>87</v>
      </c>
      <c r="B232" s="176" t="s">
        <v>1213</v>
      </c>
      <c r="C232" s="176" t="s">
        <v>1209</v>
      </c>
      <c r="D232" s="157">
        <v>0</v>
      </c>
      <c r="E232" s="157">
        <f>+'SMT KIT Rcvd '!D231</f>
        <v>60</v>
      </c>
      <c r="F232" s="157">
        <f>'Excise Dispatch '!D231</f>
        <v>60</v>
      </c>
      <c r="G232" s="157">
        <f>+'PACK Prod'!D231</f>
        <v>60</v>
      </c>
      <c r="H232" s="157">
        <f t="shared" si="26"/>
        <v>0</v>
      </c>
      <c r="I232" s="158">
        <f t="shared" si="27"/>
        <v>0</v>
      </c>
      <c r="J232" s="157">
        <f t="shared" si="24"/>
        <v>0</v>
      </c>
      <c r="K232" s="157">
        <v>60</v>
      </c>
      <c r="L232" s="159">
        <f t="shared" si="28"/>
        <v>0</v>
      </c>
      <c r="M232" s="157">
        <v>0</v>
      </c>
    </row>
    <row r="233" spans="1:13" s="67" customFormat="1" ht="15.75" customHeight="1" x14ac:dyDescent="0.2">
      <c r="A233" s="48">
        <v>88</v>
      </c>
      <c r="B233" s="176" t="s">
        <v>1214</v>
      </c>
      <c r="C233" s="176" t="s">
        <v>1210</v>
      </c>
      <c r="D233" s="157">
        <v>0</v>
      </c>
      <c r="E233" s="157">
        <f>+'SMT KIT Rcvd '!D232</f>
        <v>120</v>
      </c>
      <c r="F233" s="157">
        <f>'Excise Dispatch '!D232</f>
        <v>120</v>
      </c>
      <c r="G233" s="157">
        <f>+'PACK Prod'!D232</f>
        <v>120</v>
      </c>
      <c r="H233" s="157">
        <f t="shared" si="26"/>
        <v>0</v>
      </c>
      <c r="I233" s="158">
        <f t="shared" si="27"/>
        <v>0</v>
      </c>
      <c r="J233" s="157">
        <f t="shared" si="24"/>
        <v>0</v>
      </c>
      <c r="K233" s="157">
        <v>120</v>
      </c>
      <c r="L233" s="159">
        <f t="shared" si="28"/>
        <v>0</v>
      </c>
      <c r="M233" s="157">
        <v>0</v>
      </c>
    </row>
    <row r="234" spans="1:13" s="67" customFormat="1" ht="15.75" customHeight="1" x14ac:dyDescent="0.2">
      <c r="A234" s="48">
        <v>89</v>
      </c>
      <c r="B234" s="166" t="s">
        <v>153</v>
      </c>
      <c r="C234" s="166" t="s">
        <v>104</v>
      </c>
      <c r="D234" s="157">
        <v>0</v>
      </c>
      <c r="E234" s="157">
        <f>+'SMT KIT Rcvd '!D233</f>
        <v>17700</v>
      </c>
      <c r="F234" s="157">
        <f>'Excise Dispatch '!D233</f>
        <v>17700</v>
      </c>
      <c r="G234" s="157">
        <f>+'PACK Prod'!D233</f>
        <v>17700</v>
      </c>
      <c r="H234" s="157">
        <f t="shared" si="26"/>
        <v>0</v>
      </c>
      <c r="I234" s="158">
        <f t="shared" si="27"/>
        <v>0</v>
      </c>
      <c r="J234" s="157">
        <f t="shared" si="24"/>
        <v>0</v>
      </c>
      <c r="K234" s="157">
        <v>17700</v>
      </c>
      <c r="L234" s="159">
        <f t="shared" si="28"/>
        <v>0</v>
      </c>
      <c r="M234" s="157">
        <v>0</v>
      </c>
    </row>
    <row r="235" spans="1:13" s="67" customFormat="1" ht="15.75" customHeight="1" x14ac:dyDescent="0.2">
      <c r="A235" s="48">
        <v>90</v>
      </c>
      <c r="B235" s="166" t="s">
        <v>482</v>
      </c>
      <c r="C235" s="166" t="s">
        <v>483</v>
      </c>
      <c r="D235" s="157">
        <v>0</v>
      </c>
      <c r="E235" s="157">
        <f>+'SMT KIT Rcvd '!D234</f>
        <v>7500</v>
      </c>
      <c r="F235" s="157">
        <f>'Excise Dispatch '!D234</f>
        <v>7500</v>
      </c>
      <c r="G235" s="157">
        <f>+'PACK Prod'!D234</f>
        <v>7500</v>
      </c>
      <c r="H235" s="157">
        <f t="shared" si="26"/>
        <v>0</v>
      </c>
      <c r="I235" s="158">
        <f t="shared" si="27"/>
        <v>0</v>
      </c>
      <c r="J235" s="157">
        <f t="shared" si="24"/>
        <v>0</v>
      </c>
      <c r="K235" s="157">
        <v>7500</v>
      </c>
      <c r="L235" s="159">
        <f t="shared" si="28"/>
        <v>0</v>
      </c>
      <c r="M235" s="157">
        <v>0</v>
      </c>
    </row>
    <row r="236" spans="1:13" s="67" customFormat="1" ht="15.75" customHeight="1" x14ac:dyDescent="0.2">
      <c r="A236" s="48">
        <v>91</v>
      </c>
      <c r="B236" s="166" t="s">
        <v>190</v>
      </c>
      <c r="C236" s="166" t="s">
        <v>188</v>
      </c>
      <c r="D236" s="157">
        <v>0</v>
      </c>
      <c r="E236" s="157">
        <f>+'SMT KIT Rcvd '!D235</f>
        <v>0</v>
      </c>
      <c r="F236" s="157">
        <f>'Excise Dispatch '!D235</f>
        <v>0</v>
      </c>
      <c r="G236" s="157">
        <f>+'PACK Prod'!D235</f>
        <v>0</v>
      </c>
      <c r="H236" s="157">
        <f t="shared" si="26"/>
        <v>0</v>
      </c>
      <c r="I236" s="158">
        <f t="shared" si="27"/>
        <v>0</v>
      </c>
      <c r="J236" s="157">
        <f t="shared" si="24"/>
        <v>0</v>
      </c>
      <c r="K236" s="157">
        <v>0</v>
      </c>
      <c r="L236" s="159">
        <f t="shared" si="28"/>
        <v>0</v>
      </c>
      <c r="M236" s="157">
        <v>0</v>
      </c>
    </row>
    <row r="237" spans="1:13" s="67" customFormat="1" ht="15.75" customHeight="1" x14ac:dyDescent="0.2">
      <c r="A237" s="48">
        <v>92</v>
      </c>
      <c r="B237" s="166" t="s">
        <v>191</v>
      </c>
      <c r="C237" s="166" t="s">
        <v>189</v>
      </c>
      <c r="D237" s="157">
        <v>0</v>
      </c>
      <c r="E237" s="157">
        <f>+'SMT KIT Rcvd '!D236</f>
        <v>200</v>
      </c>
      <c r="F237" s="157">
        <f>'Excise Dispatch '!D236</f>
        <v>200</v>
      </c>
      <c r="G237" s="157">
        <f>+'PACK Prod'!D236</f>
        <v>200</v>
      </c>
      <c r="H237" s="157">
        <f t="shared" si="26"/>
        <v>0</v>
      </c>
      <c r="I237" s="158">
        <f t="shared" si="27"/>
        <v>0</v>
      </c>
      <c r="J237" s="157">
        <f t="shared" si="24"/>
        <v>0</v>
      </c>
      <c r="K237" s="157">
        <v>200</v>
      </c>
      <c r="L237" s="159">
        <f t="shared" si="28"/>
        <v>0</v>
      </c>
      <c r="M237" s="157">
        <v>0</v>
      </c>
    </row>
    <row r="238" spans="1:13" s="67" customFormat="1" ht="15.75" customHeight="1" x14ac:dyDescent="0.2">
      <c r="A238" s="48">
        <v>93</v>
      </c>
      <c r="B238" s="166" t="s">
        <v>397</v>
      </c>
      <c r="C238" s="166" t="s">
        <v>400</v>
      </c>
      <c r="D238" s="157">
        <v>0</v>
      </c>
      <c r="E238" s="157">
        <f>+'SMT KIT Rcvd '!D237</f>
        <v>0</v>
      </c>
      <c r="F238" s="157">
        <f>'Excise Dispatch '!D237</f>
        <v>0</v>
      </c>
      <c r="G238" s="157">
        <f>+'PACK Prod'!D237</f>
        <v>0</v>
      </c>
      <c r="H238" s="157">
        <f t="shared" si="26"/>
        <v>0</v>
      </c>
      <c r="I238" s="158">
        <f t="shared" si="27"/>
        <v>0</v>
      </c>
      <c r="J238" s="157">
        <f t="shared" si="24"/>
        <v>0</v>
      </c>
      <c r="K238" s="157">
        <v>0</v>
      </c>
      <c r="L238" s="159">
        <f t="shared" si="28"/>
        <v>0</v>
      </c>
      <c r="M238" s="157">
        <v>0</v>
      </c>
    </row>
    <row r="239" spans="1:13" s="67" customFormat="1" ht="15.75" customHeight="1" x14ac:dyDescent="0.2">
      <c r="A239" s="48">
        <v>94</v>
      </c>
      <c r="B239" s="166" t="s">
        <v>398</v>
      </c>
      <c r="C239" s="166" t="s">
        <v>401</v>
      </c>
      <c r="D239" s="157">
        <v>0</v>
      </c>
      <c r="E239" s="157">
        <f>+'SMT KIT Rcvd '!D238</f>
        <v>0</v>
      </c>
      <c r="F239" s="157">
        <f>'Excise Dispatch '!D238</f>
        <v>0</v>
      </c>
      <c r="G239" s="157">
        <f>+'PACK Prod'!D238</f>
        <v>0</v>
      </c>
      <c r="H239" s="157">
        <f t="shared" si="26"/>
        <v>0</v>
      </c>
      <c r="I239" s="158">
        <f t="shared" si="27"/>
        <v>0</v>
      </c>
      <c r="J239" s="157">
        <f t="shared" si="24"/>
        <v>0</v>
      </c>
      <c r="K239" s="157">
        <v>0</v>
      </c>
      <c r="L239" s="159">
        <f t="shared" si="28"/>
        <v>0</v>
      </c>
      <c r="M239" s="157">
        <v>0</v>
      </c>
    </row>
    <row r="240" spans="1:13" s="67" customFormat="1" ht="15.75" customHeight="1" x14ac:dyDescent="0.2">
      <c r="A240" s="48">
        <v>95</v>
      </c>
      <c r="B240" s="166" t="s">
        <v>399</v>
      </c>
      <c r="C240" s="166" t="s">
        <v>402</v>
      </c>
      <c r="D240" s="157">
        <v>0</v>
      </c>
      <c r="E240" s="157">
        <f>+'SMT KIT Rcvd '!D239</f>
        <v>0</v>
      </c>
      <c r="F240" s="157">
        <f>'Excise Dispatch '!D239</f>
        <v>0</v>
      </c>
      <c r="G240" s="157">
        <f>+'PACK Prod'!D239</f>
        <v>0</v>
      </c>
      <c r="H240" s="157">
        <f t="shared" si="26"/>
        <v>0</v>
      </c>
      <c r="I240" s="158">
        <f t="shared" si="27"/>
        <v>0</v>
      </c>
      <c r="J240" s="157">
        <f t="shared" si="24"/>
        <v>0</v>
      </c>
      <c r="K240" s="157">
        <v>0</v>
      </c>
      <c r="L240" s="159">
        <f t="shared" si="28"/>
        <v>0</v>
      </c>
      <c r="M240" s="157">
        <v>0</v>
      </c>
    </row>
    <row r="241" spans="1:13" s="67" customFormat="1" ht="15.75" customHeight="1" x14ac:dyDescent="0.2">
      <c r="A241" s="48">
        <v>96</v>
      </c>
      <c r="B241" s="166" t="s">
        <v>193</v>
      </c>
      <c r="C241" s="166" t="s">
        <v>192</v>
      </c>
      <c r="D241" s="157">
        <v>0</v>
      </c>
      <c r="E241" s="157">
        <f>+'SMT KIT Rcvd '!D240</f>
        <v>360</v>
      </c>
      <c r="F241" s="157">
        <f>'Excise Dispatch '!D240</f>
        <v>360</v>
      </c>
      <c r="G241" s="157">
        <f>+'PACK Prod'!D240</f>
        <v>360</v>
      </c>
      <c r="H241" s="157">
        <f t="shared" si="26"/>
        <v>0</v>
      </c>
      <c r="I241" s="158">
        <f t="shared" si="27"/>
        <v>0</v>
      </c>
      <c r="J241" s="157">
        <f t="shared" si="24"/>
        <v>0</v>
      </c>
      <c r="K241" s="157">
        <v>360</v>
      </c>
      <c r="L241" s="159">
        <f t="shared" si="28"/>
        <v>0</v>
      </c>
      <c r="M241" s="157">
        <v>0</v>
      </c>
    </row>
    <row r="242" spans="1:13" s="67" customFormat="1" ht="15.75" customHeight="1" x14ac:dyDescent="0.2">
      <c r="A242" s="48">
        <v>97</v>
      </c>
      <c r="B242" s="166" t="s">
        <v>230</v>
      </c>
      <c r="C242" s="166" t="s">
        <v>229</v>
      </c>
      <c r="D242" s="157">
        <v>0</v>
      </c>
      <c r="E242" s="157">
        <f>+'SMT KIT Rcvd '!D241</f>
        <v>0</v>
      </c>
      <c r="F242" s="157">
        <f>'Excise Dispatch '!D241</f>
        <v>0</v>
      </c>
      <c r="G242" s="157">
        <f>+'PACK Prod'!D241</f>
        <v>0</v>
      </c>
      <c r="H242" s="157">
        <f t="shared" si="26"/>
        <v>0</v>
      </c>
      <c r="I242" s="158">
        <f t="shared" si="27"/>
        <v>0</v>
      </c>
      <c r="J242" s="157">
        <f t="shared" si="24"/>
        <v>0</v>
      </c>
      <c r="K242" s="157">
        <v>0</v>
      </c>
      <c r="L242" s="159">
        <f t="shared" si="28"/>
        <v>0</v>
      </c>
      <c r="M242" s="157">
        <v>0</v>
      </c>
    </row>
    <row r="243" spans="1:13" s="67" customFormat="1" ht="15.75" customHeight="1" x14ac:dyDescent="0.2">
      <c r="A243" s="48">
        <v>98</v>
      </c>
      <c r="B243" s="166" t="s">
        <v>154</v>
      </c>
      <c r="C243" s="166" t="s">
        <v>105</v>
      </c>
      <c r="D243" s="157">
        <v>58</v>
      </c>
      <c r="E243" s="157">
        <f>+'SMT KIT Rcvd '!D242</f>
        <v>0</v>
      </c>
      <c r="F243" s="157">
        <f>'Excise Dispatch '!D242</f>
        <v>0</v>
      </c>
      <c r="G243" s="157">
        <f>+'PACK Prod'!D242</f>
        <v>0</v>
      </c>
      <c r="H243" s="157">
        <f t="shared" si="26"/>
        <v>58</v>
      </c>
      <c r="I243" s="158">
        <f t="shared" si="27"/>
        <v>58</v>
      </c>
      <c r="J243" s="157">
        <f t="shared" si="24"/>
        <v>0</v>
      </c>
      <c r="K243" s="157">
        <v>0</v>
      </c>
      <c r="L243" s="159">
        <f t="shared" si="28"/>
        <v>-58</v>
      </c>
      <c r="M243" s="157">
        <v>58</v>
      </c>
    </row>
    <row r="244" spans="1:13" s="67" customFormat="1" ht="15.75" customHeight="1" x14ac:dyDescent="0.2">
      <c r="A244" s="48">
        <v>99</v>
      </c>
      <c r="B244" s="166" t="s">
        <v>155</v>
      </c>
      <c r="C244" s="166" t="s">
        <v>106</v>
      </c>
      <c r="D244" s="157">
        <v>0</v>
      </c>
      <c r="E244" s="157">
        <f>+'SMT KIT Rcvd '!D243</f>
        <v>0</v>
      </c>
      <c r="F244" s="157">
        <f>'Excise Dispatch '!D243</f>
        <v>0</v>
      </c>
      <c r="G244" s="157">
        <f>+'PACK Prod'!D243</f>
        <v>0</v>
      </c>
      <c r="H244" s="157">
        <f t="shared" si="26"/>
        <v>0</v>
      </c>
      <c r="I244" s="158">
        <f t="shared" si="27"/>
        <v>0</v>
      </c>
      <c r="J244" s="157">
        <f t="shared" si="24"/>
        <v>0</v>
      </c>
      <c r="K244" s="157">
        <v>0</v>
      </c>
      <c r="L244" s="159">
        <f t="shared" si="28"/>
        <v>0</v>
      </c>
      <c r="M244" s="157">
        <v>0</v>
      </c>
    </row>
    <row r="245" spans="1:13" s="67" customFormat="1" ht="15.75" customHeight="1" x14ac:dyDescent="0.2">
      <c r="A245" s="48">
        <v>100</v>
      </c>
      <c r="B245" s="166" t="s">
        <v>156</v>
      </c>
      <c r="C245" s="166" t="s">
        <v>107</v>
      </c>
      <c r="D245" s="157">
        <v>0</v>
      </c>
      <c r="E245" s="157">
        <f>+'SMT KIT Rcvd '!D244</f>
        <v>0</v>
      </c>
      <c r="F245" s="157">
        <f>'Excise Dispatch '!D244</f>
        <v>0</v>
      </c>
      <c r="G245" s="157">
        <f>+'PACK Prod'!D244</f>
        <v>0</v>
      </c>
      <c r="H245" s="157">
        <f t="shared" si="26"/>
        <v>0</v>
      </c>
      <c r="I245" s="158">
        <f t="shared" si="27"/>
        <v>0</v>
      </c>
      <c r="J245" s="157">
        <f t="shared" si="24"/>
        <v>0</v>
      </c>
      <c r="K245" s="157">
        <v>0</v>
      </c>
      <c r="L245" s="159">
        <f t="shared" si="28"/>
        <v>0</v>
      </c>
      <c r="M245" s="157">
        <v>0</v>
      </c>
    </row>
    <row r="246" spans="1:13" s="67" customFormat="1" ht="15.75" customHeight="1" x14ac:dyDescent="0.2">
      <c r="A246" s="48">
        <v>101</v>
      </c>
      <c r="B246" s="166" t="s">
        <v>234</v>
      </c>
      <c r="C246" s="166" t="s">
        <v>233</v>
      </c>
      <c r="D246" s="157">
        <v>0</v>
      </c>
      <c r="E246" s="157">
        <f>+'SMT KIT Rcvd '!D245</f>
        <v>180</v>
      </c>
      <c r="F246" s="157">
        <f>'Excise Dispatch '!D245</f>
        <v>180</v>
      </c>
      <c r="G246" s="157">
        <f>+'PACK Prod'!D245</f>
        <v>180</v>
      </c>
      <c r="H246" s="157">
        <f t="shared" si="26"/>
        <v>0</v>
      </c>
      <c r="I246" s="158">
        <f t="shared" si="27"/>
        <v>0</v>
      </c>
      <c r="J246" s="157">
        <f t="shared" si="24"/>
        <v>0</v>
      </c>
      <c r="K246" s="157">
        <v>180</v>
      </c>
      <c r="L246" s="159">
        <f t="shared" si="28"/>
        <v>0</v>
      </c>
      <c r="M246" s="157">
        <v>0</v>
      </c>
    </row>
    <row r="247" spans="1:13" s="67" customFormat="1" ht="15.75" customHeight="1" x14ac:dyDescent="0.2">
      <c r="A247" s="48">
        <v>102</v>
      </c>
      <c r="B247" s="166" t="s">
        <v>195</v>
      </c>
      <c r="C247" s="166" t="s">
        <v>194</v>
      </c>
      <c r="D247" s="157">
        <v>0</v>
      </c>
      <c r="E247" s="157">
        <f>+'SMT KIT Rcvd '!D246</f>
        <v>5000</v>
      </c>
      <c r="F247" s="157">
        <f>'Excise Dispatch '!D246</f>
        <v>5000</v>
      </c>
      <c r="G247" s="157">
        <f>+'PACK Prod'!D246</f>
        <v>5000</v>
      </c>
      <c r="H247" s="157">
        <f t="shared" si="26"/>
        <v>0</v>
      </c>
      <c r="I247" s="158">
        <f t="shared" si="27"/>
        <v>0</v>
      </c>
      <c r="J247" s="157">
        <f t="shared" si="24"/>
        <v>0</v>
      </c>
      <c r="K247" s="157">
        <v>5000</v>
      </c>
      <c r="L247" s="159">
        <f t="shared" si="28"/>
        <v>0</v>
      </c>
      <c r="M247" s="157">
        <v>0</v>
      </c>
    </row>
    <row r="248" spans="1:13" s="67" customFormat="1" ht="15.75" customHeight="1" x14ac:dyDescent="0.2">
      <c r="A248" s="48">
        <v>103</v>
      </c>
      <c r="B248" s="176" t="s">
        <v>1111</v>
      </c>
      <c r="C248" s="176" t="s">
        <v>1139</v>
      </c>
      <c r="D248" s="157">
        <v>0</v>
      </c>
      <c r="E248" s="157">
        <f>+'SMT KIT Rcvd '!D247</f>
        <v>1900</v>
      </c>
      <c r="F248" s="157">
        <f>'Excise Dispatch '!D247</f>
        <v>1900</v>
      </c>
      <c r="G248" s="157">
        <f>+'PACK Prod'!D247</f>
        <v>1900</v>
      </c>
      <c r="H248" s="157">
        <f t="shared" si="26"/>
        <v>0</v>
      </c>
      <c r="I248" s="158">
        <f t="shared" si="27"/>
        <v>0</v>
      </c>
      <c r="J248" s="157">
        <f t="shared" si="24"/>
        <v>0</v>
      </c>
      <c r="K248" s="157">
        <v>1900</v>
      </c>
      <c r="L248" s="159">
        <f t="shared" si="28"/>
        <v>0</v>
      </c>
      <c r="M248" s="157">
        <v>0</v>
      </c>
    </row>
    <row r="249" spans="1:13" s="67" customFormat="1" ht="15.75" customHeight="1" x14ac:dyDescent="0.2">
      <c r="A249" s="48">
        <v>104</v>
      </c>
      <c r="B249" s="176" t="s">
        <v>1143</v>
      </c>
      <c r="C249" s="176" t="s">
        <v>1140</v>
      </c>
      <c r="D249" s="157">
        <v>0</v>
      </c>
      <c r="E249" s="157">
        <f>+'SMT KIT Rcvd '!D248</f>
        <v>500</v>
      </c>
      <c r="F249" s="157">
        <f>'Excise Dispatch '!D248</f>
        <v>500</v>
      </c>
      <c r="G249" s="157">
        <f>+'PACK Prod'!D248</f>
        <v>500</v>
      </c>
      <c r="H249" s="157">
        <f t="shared" si="26"/>
        <v>0</v>
      </c>
      <c r="I249" s="158">
        <f t="shared" si="27"/>
        <v>0</v>
      </c>
      <c r="J249" s="157">
        <f t="shared" si="24"/>
        <v>0</v>
      </c>
      <c r="K249" s="157">
        <v>500</v>
      </c>
      <c r="L249" s="159">
        <f t="shared" si="28"/>
        <v>0</v>
      </c>
      <c r="M249" s="157">
        <v>0</v>
      </c>
    </row>
    <row r="250" spans="1:13" s="67" customFormat="1" ht="15.75" customHeight="1" x14ac:dyDescent="0.2">
      <c r="A250" s="48">
        <v>105</v>
      </c>
      <c r="B250" s="176" t="s">
        <v>1137</v>
      </c>
      <c r="C250" s="176" t="s">
        <v>1141</v>
      </c>
      <c r="D250" s="157">
        <v>0</v>
      </c>
      <c r="E250" s="157">
        <f>+'SMT KIT Rcvd '!D249</f>
        <v>1300</v>
      </c>
      <c r="F250" s="157">
        <f>'Excise Dispatch '!D249</f>
        <v>1300</v>
      </c>
      <c r="G250" s="157">
        <f>+'PACK Prod'!D249</f>
        <v>1300</v>
      </c>
      <c r="H250" s="157">
        <f t="shared" si="26"/>
        <v>0</v>
      </c>
      <c r="I250" s="158">
        <f t="shared" si="27"/>
        <v>0</v>
      </c>
      <c r="J250" s="157">
        <f t="shared" si="24"/>
        <v>0</v>
      </c>
      <c r="K250" s="157">
        <v>1300</v>
      </c>
      <c r="L250" s="159">
        <f t="shared" si="28"/>
        <v>0</v>
      </c>
      <c r="M250" s="157">
        <v>0</v>
      </c>
    </row>
    <row r="251" spans="1:13" s="67" customFormat="1" ht="15.75" customHeight="1" x14ac:dyDescent="0.2">
      <c r="A251" s="48">
        <v>106</v>
      </c>
      <c r="B251" s="176" t="s">
        <v>1144</v>
      </c>
      <c r="C251" s="176" t="s">
        <v>1142</v>
      </c>
      <c r="D251" s="157">
        <v>0</v>
      </c>
      <c r="E251" s="157">
        <f>+'SMT KIT Rcvd '!D250</f>
        <v>200</v>
      </c>
      <c r="F251" s="157">
        <f>'Excise Dispatch '!D250</f>
        <v>200</v>
      </c>
      <c r="G251" s="157">
        <f>+'PACK Prod'!D250</f>
        <v>200</v>
      </c>
      <c r="H251" s="157">
        <f t="shared" si="26"/>
        <v>0</v>
      </c>
      <c r="I251" s="158">
        <f t="shared" si="27"/>
        <v>0</v>
      </c>
      <c r="J251" s="157">
        <f t="shared" si="24"/>
        <v>0</v>
      </c>
      <c r="K251" s="157">
        <v>200</v>
      </c>
      <c r="L251" s="159">
        <f t="shared" si="28"/>
        <v>0</v>
      </c>
      <c r="M251" s="157">
        <v>0</v>
      </c>
    </row>
    <row r="252" spans="1:13" s="67" customFormat="1" ht="15.75" customHeight="1" x14ac:dyDescent="0.2">
      <c r="A252" s="48">
        <v>107</v>
      </c>
      <c r="B252" s="176" t="s">
        <v>1148</v>
      </c>
      <c r="C252" s="176" t="s">
        <v>1145</v>
      </c>
      <c r="D252" s="157">
        <v>0</v>
      </c>
      <c r="E252" s="157">
        <f>+'SMT KIT Rcvd '!D251</f>
        <v>9950</v>
      </c>
      <c r="F252" s="157">
        <f>'Excise Dispatch '!D251</f>
        <v>9950</v>
      </c>
      <c r="G252" s="157">
        <f>+'PACK Prod'!D251</f>
        <v>9950</v>
      </c>
      <c r="H252" s="157">
        <f t="shared" si="26"/>
        <v>0</v>
      </c>
      <c r="I252" s="158">
        <f t="shared" si="27"/>
        <v>0</v>
      </c>
      <c r="J252" s="157">
        <f t="shared" si="24"/>
        <v>0</v>
      </c>
      <c r="K252" s="157">
        <v>9950</v>
      </c>
      <c r="L252" s="159">
        <f t="shared" si="28"/>
        <v>0</v>
      </c>
      <c r="M252" s="157">
        <v>0</v>
      </c>
    </row>
    <row r="253" spans="1:13" s="67" customFormat="1" ht="15.75" customHeight="1" x14ac:dyDescent="0.2">
      <c r="A253" s="48">
        <v>108</v>
      </c>
      <c r="B253" s="176" t="s">
        <v>1149</v>
      </c>
      <c r="C253" s="176" t="s">
        <v>1146</v>
      </c>
      <c r="D253" s="157">
        <v>0</v>
      </c>
      <c r="E253" s="157">
        <f>+'SMT KIT Rcvd '!D252</f>
        <v>5000</v>
      </c>
      <c r="F253" s="157">
        <f>'Excise Dispatch '!D252</f>
        <v>5000</v>
      </c>
      <c r="G253" s="157">
        <f>+'PACK Prod'!D252</f>
        <v>5000</v>
      </c>
      <c r="H253" s="157">
        <f t="shared" si="26"/>
        <v>0</v>
      </c>
      <c r="I253" s="158">
        <f t="shared" si="27"/>
        <v>0</v>
      </c>
      <c r="J253" s="157">
        <f t="shared" si="24"/>
        <v>0</v>
      </c>
      <c r="K253" s="157">
        <v>5000</v>
      </c>
      <c r="L253" s="159">
        <f t="shared" si="28"/>
        <v>0</v>
      </c>
      <c r="M253" s="157">
        <v>0</v>
      </c>
    </row>
    <row r="254" spans="1:13" s="67" customFormat="1" ht="15.75" customHeight="1" x14ac:dyDescent="0.2">
      <c r="A254" s="48">
        <v>109</v>
      </c>
      <c r="B254" s="176" t="s">
        <v>1150</v>
      </c>
      <c r="C254" s="176" t="s">
        <v>1147</v>
      </c>
      <c r="D254" s="157">
        <v>0</v>
      </c>
      <c r="E254" s="157">
        <f>+'SMT KIT Rcvd '!D253</f>
        <v>4550</v>
      </c>
      <c r="F254" s="157">
        <f>'Excise Dispatch '!D253</f>
        <v>4550</v>
      </c>
      <c r="G254" s="157">
        <f>+'PACK Prod'!D253</f>
        <v>4550</v>
      </c>
      <c r="H254" s="157">
        <f t="shared" si="26"/>
        <v>0</v>
      </c>
      <c r="I254" s="158">
        <f t="shared" si="27"/>
        <v>0</v>
      </c>
      <c r="J254" s="157">
        <f t="shared" si="24"/>
        <v>0</v>
      </c>
      <c r="K254" s="157">
        <v>4550</v>
      </c>
      <c r="L254" s="159">
        <f t="shared" si="28"/>
        <v>0</v>
      </c>
      <c r="M254" s="157">
        <v>0</v>
      </c>
    </row>
    <row r="255" spans="1:13" s="67" customFormat="1" ht="15.75" customHeight="1" x14ac:dyDescent="0.2">
      <c r="A255" s="48">
        <v>110</v>
      </c>
      <c r="B255" s="166" t="s">
        <v>741</v>
      </c>
      <c r="C255" s="166" t="s">
        <v>739</v>
      </c>
      <c r="D255" s="157">
        <v>0</v>
      </c>
      <c r="E255" s="157">
        <f>+'SMT KIT Rcvd '!D254</f>
        <v>0</v>
      </c>
      <c r="F255" s="157">
        <f>'Excise Dispatch '!D254</f>
        <v>0</v>
      </c>
      <c r="G255" s="157">
        <f>+'PACK Prod'!D254</f>
        <v>0</v>
      </c>
      <c r="H255" s="157">
        <f t="shared" si="26"/>
        <v>0</v>
      </c>
      <c r="I255" s="158">
        <f t="shared" si="27"/>
        <v>0</v>
      </c>
      <c r="J255" s="157">
        <f t="shared" si="24"/>
        <v>0</v>
      </c>
      <c r="K255" s="157">
        <v>0</v>
      </c>
      <c r="L255" s="159">
        <f t="shared" si="28"/>
        <v>0</v>
      </c>
      <c r="M255" s="157">
        <v>0</v>
      </c>
    </row>
    <row r="256" spans="1:13" s="67" customFormat="1" ht="15.75" customHeight="1" x14ac:dyDescent="0.2">
      <c r="A256" s="48">
        <v>111</v>
      </c>
      <c r="B256" s="166" t="s">
        <v>742</v>
      </c>
      <c r="C256" s="166" t="s">
        <v>740</v>
      </c>
      <c r="D256" s="157">
        <v>0</v>
      </c>
      <c r="E256" s="157">
        <f>+'SMT KIT Rcvd '!D255</f>
        <v>0</v>
      </c>
      <c r="F256" s="157">
        <f>'Excise Dispatch '!D255</f>
        <v>0</v>
      </c>
      <c r="G256" s="157">
        <f>+'PACK Prod'!D255</f>
        <v>0</v>
      </c>
      <c r="H256" s="157">
        <f t="shared" si="26"/>
        <v>0</v>
      </c>
      <c r="I256" s="158">
        <f t="shared" si="27"/>
        <v>0</v>
      </c>
      <c r="J256" s="157">
        <f t="shared" si="24"/>
        <v>0</v>
      </c>
      <c r="K256" s="157">
        <v>0</v>
      </c>
      <c r="L256" s="159">
        <f t="shared" si="28"/>
        <v>0</v>
      </c>
      <c r="M256" s="157">
        <v>0</v>
      </c>
    </row>
    <row r="257" spans="1:13" s="67" customFormat="1" ht="15.75" customHeight="1" x14ac:dyDescent="0.2">
      <c r="A257" s="48">
        <v>112</v>
      </c>
      <c r="B257" s="166" t="s">
        <v>745</v>
      </c>
      <c r="C257" s="166" t="s">
        <v>743</v>
      </c>
      <c r="D257" s="157">
        <v>0</v>
      </c>
      <c r="E257" s="157">
        <f>+'SMT KIT Rcvd '!D256</f>
        <v>0</v>
      </c>
      <c r="F257" s="157">
        <f>'Excise Dispatch '!D256</f>
        <v>0</v>
      </c>
      <c r="G257" s="157">
        <f>+'PACK Prod'!D256</f>
        <v>0</v>
      </c>
      <c r="H257" s="157">
        <f t="shared" si="26"/>
        <v>0</v>
      </c>
      <c r="I257" s="158">
        <f t="shared" si="27"/>
        <v>0</v>
      </c>
      <c r="J257" s="157">
        <f t="shared" si="24"/>
        <v>0</v>
      </c>
      <c r="K257" s="157">
        <v>0</v>
      </c>
      <c r="L257" s="159">
        <f t="shared" si="28"/>
        <v>0</v>
      </c>
      <c r="M257" s="157">
        <v>0</v>
      </c>
    </row>
    <row r="258" spans="1:13" s="67" customFormat="1" ht="15.75" customHeight="1" x14ac:dyDescent="0.2">
      <c r="A258" s="48">
        <v>113</v>
      </c>
      <c r="B258" s="166" t="s">
        <v>746</v>
      </c>
      <c r="C258" s="166" t="s">
        <v>744</v>
      </c>
      <c r="D258" s="157">
        <v>0</v>
      </c>
      <c r="E258" s="157">
        <f>+'SMT KIT Rcvd '!D257</f>
        <v>0</v>
      </c>
      <c r="F258" s="157">
        <f>'Excise Dispatch '!D257</f>
        <v>0</v>
      </c>
      <c r="G258" s="157">
        <f>+'PACK Prod'!D257</f>
        <v>0</v>
      </c>
      <c r="H258" s="157">
        <f t="shared" si="26"/>
        <v>0</v>
      </c>
      <c r="I258" s="158">
        <f t="shared" si="27"/>
        <v>0</v>
      </c>
      <c r="J258" s="157">
        <f t="shared" si="24"/>
        <v>0</v>
      </c>
      <c r="K258" s="157">
        <v>0</v>
      </c>
      <c r="L258" s="159">
        <f t="shared" si="28"/>
        <v>0</v>
      </c>
      <c r="M258" s="157">
        <v>0</v>
      </c>
    </row>
    <row r="259" spans="1:13" s="67" customFormat="1" ht="15.75" customHeight="1" x14ac:dyDescent="0.2">
      <c r="A259" s="48">
        <v>114</v>
      </c>
      <c r="B259" s="166" t="s">
        <v>468</v>
      </c>
      <c r="C259" s="166" t="s">
        <v>469</v>
      </c>
      <c r="D259" s="157">
        <v>100</v>
      </c>
      <c r="E259" s="157">
        <f>+'SMT KIT Rcvd '!D258</f>
        <v>0</v>
      </c>
      <c r="F259" s="157">
        <f>'Excise Dispatch '!D258</f>
        <v>0</v>
      </c>
      <c r="G259" s="157">
        <f>+'PACK Prod'!D258</f>
        <v>0</v>
      </c>
      <c r="H259" s="157">
        <f t="shared" si="26"/>
        <v>100</v>
      </c>
      <c r="I259" s="158">
        <f t="shared" si="27"/>
        <v>100</v>
      </c>
      <c r="J259" s="157">
        <f t="shared" si="24"/>
        <v>0</v>
      </c>
      <c r="K259" s="157">
        <v>0</v>
      </c>
      <c r="L259" s="159">
        <f t="shared" si="28"/>
        <v>-100</v>
      </c>
      <c r="M259" s="157">
        <v>100</v>
      </c>
    </row>
    <row r="260" spans="1:13" s="67" customFormat="1" ht="15.75" customHeight="1" x14ac:dyDescent="0.2">
      <c r="A260" s="48">
        <v>115</v>
      </c>
      <c r="B260" s="166" t="s">
        <v>474</v>
      </c>
      <c r="C260" s="166" t="s">
        <v>475</v>
      </c>
      <c r="D260" s="157">
        <v>0</v>
      </c>
      <c r="E260" s="157">
        <f>+'SMT KIT Rcvd '!D259</f>
        <v>0</v>
      </c>
      <c r="F260" s="157">
        <f>'Excise Dispatch '!D259</f>
        <v>0</v>
      </c>
      <c r="G260" s="157">
        <f>+'PACK Prod'!D259</f>
        <v>0</v>
      </c>
      <c r="H260" s="157">
        <f t="shared" si="26"/>
        <v>0</v>
      </c>
      <c r="I260" s="158">
        <f t="shared" si="27"/>
        <v>0</v>
      </c>
      <c r="J260" s="157">
        <f t="shared" si="24"/>
        <v>0</v>
      </c>
      <c r="K260" s="157">
        <v>0</v>
      </c>
      <c r="L260" s="159">
        <f t="shared" si="28"/>
        <v>0</v>
      </c>
      <c r="M260" s="157">
        <v>0</v>
      </c>
    </row>
    <row r="261" spans="1:13" s="67" customFormat="1" ht="15.75" customHeight="1" x14ac:dyDescent="0.2">
      <c r="A261" s="48">
        <v>116</v>
      </c>
      <c r="B261" s="166" t="s">
        <v>222</v>
      </c>
      <c r="C261" s="166" t="s">
        <v>221</v>
      </c>
      <c r="D261" s="157">
        <v>125</v>
      </c>
      <c r="E261" s="157">
        <f>+'SMT KIT Rcvd '!D260</f>
        <v>0</v>
      </c>
      <c r="F261" s="157">
        <f>'Excise Dispatch '!D260</f>
        <v>0</v>
      </c>
      <c r="G261" s="157">
        <f>+'PACK Prod'!D260</f>
        <v>0</v>
      </c>
      <c r="H261" s="157">
        <f t="shared" si="26"/>
        <v>125</v>
      </c>
      <c r="I261" s="158">
        <f t="shared" si="27"/>
        <v>125</v>
      </c>
      <c r="J261" s="157">
        <f t="shared" si="24"/>
        <v>0</v>
      </c>
      <c r="K261" s="157">
        <v>0</v>
      </c>
      <c r="L261" s="159">
        <f t="shared" si="28"/>
        <v>-125</v>
      </c>
      <c r="M261" s="157">
        <v>125</v>
      </c>
    </row>
    <row r="262" spans="1:13" s="67" customFormat="1" ht="15.75" customHeight="1" x14ac:dyDescent="0.2">
      <c r="A262" s="48">
        <v>117</v>
      </c>
      <c r="B262" s="176" t="s">
        <v>963</v>
      </c>
      <c r="C262" s="176" t="s">
        <v>960</v>
      </c>
      <c r="D262" s="157">
        <v>0</v>
      </c>
      <c r="E262" s="157">
        <f>+'SMT KIT Rcvd '!D261</f>
        <v>2500</v>
      </c>
      <c r="F262" s="157">
        <f>'Excise Dispatch '!D261</f>
        <v>2500</v>
      </c>
      <c r="G262" s="157">
        <f>+'PACK Prod'!D261</f>
        <v>2500</v>
      </c>
      <c r="H262" s="157">
        <f t="shared" si="26"/>
        <v>0</v>
      </c>
      <c r="I262" s="158">
        <f t="shared" si="27"/>
        <v>0</v>
      </c>
      <c r="J262" s="157">
        <f t="shared" si="24"/>
        <v>0</v>
      </c>
      <c r="K262" s="157">
        <v>2500</v>
      </c>
      <c r="L262" s="159">
        <f t="shared" si="28"/>
        <v>0</v>
      </c>
      <c r="M262" s="157">
        <v>0</v>
      </c>
    </row>
    <row r="263" spans="1:13" s="67" customFormat="1" ht="15.75" customHeight="1" x14ac:dyDescent="0.2">
      <c r="A263" s="48">
        <v>118</v>
      </c>
      <c r="B263" s="176" t="s">
        <v>964</v>
      </c>
      <c r="C263" s="176" t="s">
        <v>961</v>
      </c>
      <c r="D263" s="157">
        <v>0</v>
      </c>
      <c r="E263" s="157">
        <f>+'SMT KIT Rcvd '!D262</f>
        <v>4500</v>
      </c>
      <c r="F263" s="157">
        <f>'Excise Dispatch '!D262</f>
        <v>4500</v>
      </c>
      <c r="G263" s="157">
        <f>+'PACK Prod'!D262</f>
        <v>4500</v>
      </c>
      <c r="H263" s="157">
        <f t="shared" si="26"/>
        <v>0</v>
      </c>
      <c r="I263" s="158">
        <f t="shared" si="27"/>
        <v>0</v>
      </c>
      <c r="J263" s="157">
        <f t="shared" si="24"/>
        <v>0</v>
      </c>
      <c r="K263" s="157">
        <v>4500</v>
      </c>
      <c r="L263" s="159">
        <f t="shared" si="28"/>
        <v>0</v>
      </c>
      <c r="M263" s="157">
        <v>0</v>
      </c>
    </row>
    <row r="264" spans="1:13" s="67" customFormat="1" ht="15.75" customHeight="1" x14ac:dyDescent="0.2">
      <c r="A264" s="48">
        <v>119</v>
      </c>
      <c r="B264" s="176" t="s">
        <v>965</v>
      </c>
      <c r="C264" s="176" t="s">
        <v>962</v>
      </c>
      <c r="D264" s="157">
        <v>0</v>
      </c>
      <c r="E264" s="157">
        <f>+'SMT KIT Rcvd '!D263</f>
        <v>5000</v>
      </c>
      <c r="F264" s="157">
        <f>'Excise Dispatch '!D263</f>
        <v>5000</v>
      </c>
      <c r="G264" s="157">
        <f>+'PACK Prod'!D263</f>
        <v>5000</v>
      </c>
      <c r="H264" s="157">
        <f t="shared" si="26"/>
        <v>0</v>
      </c>
      <c r="I264" s="158">
        <f t="shared" si="27"/>
        <v>0</v>
      </c>
      <c r="J264" s="157">
        <f t="shared" ref="J264:J303" si="29">+H264-I264</f>
        <v>0</v>
      </c>
      <c r="K264" s="157">
        <v>5000</v>
      </c>
      <c r="L264" s="159">
        <f t="shared" si="28"/>
        <v>0</v>
      </c>
      <c r="M264" s="157">
        <v>0</v>
      </c>
    </row>
    <row r="265" spans="1:13" s="67" customFormat="1" ht="15.75" customHeight="1" x14ac:dyDescent="0.2">
      <c r="A265" s="48">
        <v>120</v>
      </c>
      <c r="B265" s="166" t="s">
        <v>278</v>
      </c>
      <c r="C265" s="166" t="s">
        <v>277</v>
      </c>
      <c r="D265" s="157">
        <v>0</v>
      </c>
      <c r="E265" s="157">
        <f>+'SMT KIT Rcvd '!D264</f>
        <v>0</v>
      </c>
      <c r="F265" s="157">
        <f>'Excise Dispatch '!D264</f>
        <v>0</v>
      </c>
      <c r="G265" s="157">
        <f>+'PACK Prod'!D264</f>
        <v>0</v>
      </c>
      <c r="H265" s="157">
        <f t="shared" si="26"/>
        <v>0</v>
      </c>
      <c r="I265" s="158">
        <f t="shared" si="27"/>
        <v>0</v>
      </c>
      <c r="J265" s="157">
        <f t="shared" si="29"/>
        <v>0</v>
      </c>
      <c r="K265" s="157">
        <v>0</v>
      </c>
      <c r="L265" s="159">
        <f t="shared" si="28"/>
        <v>0</v>
      </c>
      <c r="M265" s="157">
        <v>0</v>
      </c>
    </row>
    <row r="266" spans="1:13" s="67" customFormat="1" ht="15.75" customHeight="1" x14ac:dyDescent="0.2">
      <c r="A266" s="48">
        <v>121</v>
      </c>
      <c r="B266" s="166" t="s">
        <v>919</v>
      </c>
      <c r="C266" s="166" t="s">
        <v>914</v>
      </c>
      <c r="D266" s="157">
        <v>100</v>
      </c>
      <c r="E266" s="157">
        <f>+'SMT KIT Rcvd '!D265</f>
        <v>0</v>
      </c>
      <c r="F266" s="157">
        <f>'Excise Dispatch '!D265</f>
        <v>100</v>
      </c>
      <c r="G266" s="157">
        <f>+'PACK Prod'!D265</f>
        <v>0</v>
      </c>
      <c r="H266" s="157">
        <f t="shared" si="26"/>
        <v>0</v>
      </c>
      <c r="I266" s="158">
        <f t="shared" si="27"/>
        <v>0</v>
      </c>
      <c r="J266" s="157">
        <f t="shared" si="29"/>
        <v>0</v>
      </c>
      <c r="K266" s="157">
        <v>0</v>
      </c>
      <c r="L266" s="159">
        <f t="shared" si="28"/>
        <v>-100</v>
      </c>
      <c r="M266" s="157">
        <v>100</v>
      </c>
    </row>
    <row r="267" spans="1:13" s="67" customFormat="1" ht="15.75" customHeight="1" x14ac:dyDescent="0.2">
      <c r="A267" s="48">
        <v>122</v>
      </c>
      <c r="B267" s="166" t="s">
        <v>920</v>
      </c>
      <c r="C267" s="166" t="s">
        <v>915</v>
      </c>
      <c r="D267" s="157">
        <v>100</v>
      </c>
      <c r="E267" s="157">
        <f>+'SMT KIT Rcvd '!D266</f>
        <v>0</v>
      </c>
      <c r="F267" s="157">
        <f>'Excise Dispatch '!D266</f>
        <v>100</v>
      </c>
      <c r="G267" s="157">
        <f>+'PACK Prod'!D266</f>
        <v>0</v>
      </c>
      <c r="H267" s="157">
        <f t="shared" si="26"/>
        <v>0</v>
      </c>
      <c r="I267" s="158">
        <f t="shared" si="27"/>
        <v>0</v>
      </c>
      <c r="J267" s="157">
        <f t="shared" si="29"/>
        <v>0</v>
      </c>
      <c r="K267" s="157">
        <v>0</v>
      </c>
      <c r="L267" s="159">
        <f t="shared" si="28"/>
        <v>-100</v>
      </c>
      <c r="M267" s="157">
        <v>100</v>
      </c>
    </row>
    <row r="268" spans="1:13" s="67" customFormat="1" ht="15.75" customHeight="1" x14ac:dyDescent="0.2">
      <c r="A268" s="48">
        <v>123</v>
      </c>
      <c r="B268" s="166" t="s">
        <v>921</v>
      </c>
      <c r="C268" s="166" t="s">
        <v>916</v>
      </c>
      <c r="D268" s="157">
        <v>144</v>
      </c>
      <c r="E268" s="157">
        <f>+'SMT KIT Rcvd '!D267</f>
        <v>0</v>
      </c>
      <c r="F268" s="157">
        <f>'Excise Dispatch '!D267</f>
        <v>100</v>
      </c>
      <c r="G268" s="157">
        <f>+'PACK Prod'!D267</f>
        <v>144</v>
      </c>
      <c r="H268" s="157">
        <f t="shared" si="26"/>
        <v>44</v>
      </c>
      <c r="I268" s="158">
        <f t="shared" si="27"/>
        <v>44</v>
      </c>
      <c r="J268" s="157">
        <f t="shared" si="29"/>
        <v>0</v>
      </c>
      <c r="K268" s="157">
        <v>0</v>
      </c>
      <c r="L268" s="159">
        <f t="shared" si="28"/>
        <v>-144</v>
      </c>
      <c r="M268" s="157">
        <v>0</v>
      </c>
    </row>
    <row r="269" spans="1:13" s="67" customFormat="1" ht="15.75" customHeight="1" x14ac:dyDescent="0.2">
      <c r="A269" s="48">
        <v>124</v>
      </c>
      <c r="B269" s="166" t="s">
        <v>922</v>
      </c>
      <c r="C269" s="166" t="s">
        <v>917</v>
      </c>
      <c r="D269" s="157">
        <v>0</v>
      </c>
      <c r="E269" s="157">
        <f>+'SMT KIT Rcvd '!D268</f>
        <v>0</v>
      </c>
      <c r="F269" s="157">
        <f>'Excise Dispatch '!D268</f>
        <v>0</v>
      </c>
      <c r="G269" s="157">
        <f>+'PACK Prod'!D268</f>
        <v>0</v>
      </c>
      <c r="H269" s="157">
        <f t="shared" si="26"/>
        <v>0</v>
      </c>
      <c r="I269" s="158">
        <f t="shared" si="27"/>
        <v>0</v>
      </c>
      <c r="J269" s="157">
        <f t="shared" si="29"/>
        <v>0</v>
      </c>
      <c r="K269" s="157">
        <v>0</v>
      </c>
      <c r="L269" s="159">
        <f t="shared" si="28"/>
        <v>0</v>
      </c>
      <c r="M269" s="157">
        <v>0</v>
      </c>
    </row>
    <row r="270" spans="1:13" s="67" customFormat="1" ht="15.75" customHeight="1" x14ac:dyDescent="0.2">
      <c r="A270" s="48">
        <v>125</v>
      </c>
      <c r="B270" s="166" t="s">
        <v>923</v>
      </c>
      <c r="C270" s="166" t="s">
        <v>918</v>
      </c>
      <c r="D270" s="157">
        <v>0</v>
      </c>
      <c r="E270" s="157">
        <f>+'SMT KIT Rcvd '!D269</f>
        <v>8000</v>
      </c>
      <c r="F270" s="157">
        <f>'Excise Dispatch '!D269</f>
        <v>8000</v>
      </c>
      <c r="G270" s="157">
        <f>+'PACK Prod'!D269</f>
        <v>8000</v>
      </c>
      <c r="H270" s="157">
        <f t="shared" si="26"/>
        <v>0</v>
      </c>
      <c r="I270" s="158">
        <f t="shared" si="27"/>
        <v>0</v>
      </c>
      <c r="J270" s="157">
        <f t="shared" si="29"/>
        <v>0</v>
      </c>
      <c r="K270" s="157">
        <v>8000</v>
      </c>
      <c r="L270" s="159">
        <f t="shared" si="28"/>
        <v>0</v>
      </c>
      <c r="M270" s="157">
        <v>0</v>
      </c>
    </row>
    <row r="271" spans="1:13" s="67" customFormat="1" ht="15.75" customHeight="1" x14ac:dyDescent="0.2">
      <c r="A271" s="48">
        <v>126</v>
      </c>
      <c r="B271" s="166" t="s">
        <v>157</v>
      </c>
      <c r="C271" s="166" t="s">
        <v>108</v>
      </c>
      <c r="D271" s="157">
        <v>0</v>
      </c>
      <c r="E271" s="157">
        <f>+'SMT KIT Rcvd '!D270</f>
        <v>1000</v>
      </c>
      <c r="F271" s="157">
        <f>'Excise Dispatch '!D270</f>
        <v>1000</v>
      </c>
      <c r="G271" s="157">
        <f>+'PACK Prod'!D270</f>
        <v>1000</v>
      </c>
      <c r="H271" s="157">
        <f t="shared" si="26"/>
        <v>0</v>
      </c>
      <c r="I271" s="158">
        <f t="shared" si="27"/>
        <v>0</v>
      </c>
      <c r="J271" s="157">
        <f t="shared" si="29"/>
        <v>0</v>
      </c>
      <c r="K271" s="157">
        <v>1000</v>
      </c>
      <c r="L271" s="159">
        <f t="shared" si="28"/>
        <v>0</v>
      </c>
      <c r="M271" s="157">
        <v>0</v>
      </c>
    </row>
    <row r="272" spans="1:13" s="67" customFormat="1" ht="15.75" customHeight="1" x14ac:dyDescent="0.2">
      <c r="A272" s="48">
        <v>127</v>
      </c>
      <c r="B272" s="176" t="s">
        <v>883</v>
      </c>
      <c r="C272" s="176" t="s">
        <v>882</v>
      </c>
      <c r="D272" s="157">
        <v>0</v>
      </c>
      <c r="E272" s="157">
        <f>+'SMT KIT Rcvd '!D271</f>
        <v>3460</v>
      </c>
      <c r="F272" s="157">
        <f>'Excise Dispatch '!D271</f>
        <v>3460</v>
      </c>
      <c r="G272" s="157">
        <f>+'PACK Prod'!D271</f>
        <v>3460</v>
      </c>
      <c r="H272" s="157">
        <f t="shared" si="26"/>
        <v>0</v>
      </c>
      <c r="I272" s="158">
        <f t="shared" si="27"/>
        <v>0</v>
      </c>
      <c r="J272" s="157">
        <f t="shared" si="29"/>
        <v>0</v>
      </c>
      <c r="K272" s="157">
        <v>3460</v>
      </c>
      <c r="L272" s="159">
        <f t="shared" si="28"/>
        <v>0</v>
      </c>
      <c r="M272" s="157">
        <v>0</v>
      </c>
    </row>
    <row r="273" spans="1:13" s="67" customFormat="1" ht="15.75" customHeight="1" x14ac:dyDescent="0.2">
      <c r="A273" s="48">
        <v>128</v>
      </c>
      <c r="B273" s="176" t="s">
        <v>886</v>
      </c>
      <c r="C273" s="176" t="s">
        <v>884</v>
      </c>
      <c r="D273" s="157">
        <v>0</v>
      </c>
      <c r="E273" s="157">
        <f>+'SMT KIT Rcvd '!D272</f>
        <v>0</v>
      </c>
      <c r="F273" s="157">
        <f>'Excise Dispatch '!D272</f>
        <v>0</v>
      </c>
      <c r="G273" s="157">
        <f>+'PACK Prod'!D272</f>
        <v>0</v>
      </c>
      <c r="H273" s="157">
        <f t="shared" si="26"/>
        <v>0</v>
      </c>
      <c r="I273" s="158">
        <f t="shared" si="27"/>
        <v>0</v>
      </c>
      <c r="J273" s="157">
        <f t="shared" si="29"/>
        <v>0</v>
      </c>
      <c r="K273" s="157">
        <v>0</v>
      </c>
      <c r="L273" s="159">
        <f t="shared" si="28"/>
        <v>0</v>
      </c>
      <c r="M273" s="157">
        <v>0</v>
      </c>
    </row>
    <row r="274" spans="1:13" s="67" customFormat="1" ht="15.75" customHeight="1" x14ac:dyDescent="0.2">
      <c r="A274" s="48">
        <v>129</v>
      </c>
      <c r="B274" s="176" t="s">
        <v>887</v>
      </c>
      <c r="C274" s="176" t="s">
        <v>885</v>
      </c>
      <c r="D274" s="157">
        <v>0</v>
      </c>
      <c r="E274" s="157">
        <f>+'SMT KIT Rcvd '!D273</f>
        <v>0</v>
      </c>
      <c r="F274" s="157">
        <f>'Excise Dispatch '!D273</f>
        <v>0</v>
      </c>
      <c r="G274" s="157">
        <f>+'PACK Prod'!D273</f>
        <v>0</v>
      </c>
      <c r="H274" s="157">
        <f t="shared" si="26"/>
        <v>0</v>
      </c>
      <c r="I274" s="158">
        <f t="shared" si="27"/>
        <v>0</v>
      </c>
      <c r="J274" s="157">
        <f t="shared" si="29"/>
        <v>0</v>
      </c>
      <c r="K274" s="157">
        <v>0</v>
      </c>
      <c r="L274" s="159">
        <f t="shared" si="28"/>
        <v>0</v>
      </c>
      <c r="M274" s="157">
        <v>0</v>
      </c>
    </row>
    <row r="275" spans="1:13" s="67" customFormat="1" ht="15.75" customHeight="1" x14ac:dyDescent="0.2">
      <c r="A275" s="48">
        <v>130</v>
      </c>
      <c r="B275" s="166" t="s">
        <v>158</v>
      </c>
      <c r="C275" s="166" t="s">
        <v>109</v>
      </c>
      <c r="D275" s="157">
        <v>1340</v>
      </c>
      <c r="E275" s="157">
        <f>+'SMT KIT Rcvd '!D274</f>
        <v>0</v>
      </c>
      <c r="F275" s="157">
        <f>'Excise Dispatch '!D274</f>
        <v>1340</v>
      </c>
      <c r="G275" s="157">
        <f>+'PACK Prod'!D274</f>
        <v>0</v>
      </c>
      <c r="H275" s="157">
        <f t="shared" si="26"/>
        <v>0</v>
      </c>
      <c r="I275" s="158">
        <f t="shared" si="27"/>
        <v>0</v>
      </c>
      <c r="J275" s="157">
        <f t="shared" si="29"/>
        <v>0</v>
      </c>
      <c r="K275" s="157">
        <v>0</v>
      </c>
      <c r="L275" s="159">
        <f t="shared" si="28"/>
        <v>-1340</v>
      </c>
      <c r="M275" s="157">
        <v>1340</v>
      </c>
    </row>
    <row r="276" spans="1:13" s="67" customFormat="1" ht="15.75" customHeight="1" x14ac:dyDescent="0.2">
      <c r="A276" s="48">
        <v>131</v>
      </c>
      <c r="B276" s="166" t="s">
        <v>715</v>
      </c>
      <c r="C276" s="166" t="s">
        <v>713</v>
      </c>
      <c r="D276" s="157">
        <v>1280</v>
      </c>
      <c r="E276" s="157">
        <f>+'SMT KIT Rcvd '!D275</f>
        <v>0</v>
      </c>
      <c r="F276" s="157">
        <f>'Excise Dispatch '!D275</f>
        <v>0</v>
      </c>
      <c r="G276" s="157">
        <f>+'PACK Prod'!D275</f>
        <v>0</v>
      </c>
      <c r="H276" s="157">
        <f t="shared" si="26"/>
        <v>1280</v>
      </c>
      <c r="I276" s="158">
        <f t="shared" si="27"/>
        <v>1280</v>
      </c>
      <c r="J276" s="157">
        <f t="shared" si="29"/>
        <v>0</v>
      </c>
      <c r="K276" s="157">
        <v>0</v>
      </c>
      <c r="L276" s="159">
        <f t="shared" si="28"/>
        <v>-1280</v>
      </c>
      <c r="M276" s="157">
        <v>1280</v>
      </c>
    </row>
    <row r="277" spans="1:13" s="67" customFormat="1" ht="15.75" customHeight="1" x14ac:dyDescent="0.2">
      <c r="A277" s="48">
        <v>132</v>
      </c>
      <c r="B277" s="166" t="s">
        <v>716</v>
      </c>
      <c r="C277" s="166" t="s">
        <v>714</v>
      </c>
      <c r="D277" s="157">
        <v>20</v>
      </c>
      <c r="E277" s="157">
        <f>+'SMT KIT Rcvd '!D276</f>
        <v>0</v>
      </c>
      <c r="F277" s="157">
        <f>'Excise Dispatch '!D276</f>
        <v>0</v>
      </c>
      <c r="G277" s="157">
        <f>+'PACK Prod'!D276</f>
        <v>0</v>
      </c>
      <c r="H277" s="157">
        <f t="shared" si="26"/>
        <v>20</v>
      </c>
      <c r="I277" s="158">
        <f t="shared" si="27"/>
        <v>20</v>
      </c>
      <c r="J277" s="157">
        <f t="shared" si="29"/>
        <v>0</v>
      </c>
      <c r="K277" s="157">
        <v>0</v>
      </c>
      <c r="L277" s="159">
        <f t="shared" si="28"/>
        <v>-20</v>
      </c>
      <c r="M277" s="157">
        <v>20</v>
      </c>
    </row>
    <row r="278" spans="1:13" s="67" customFormat="1" ht="15.75" customHeight="1" x14ac:dyDescent="0.2">
      <c r="A278" s="48">
        <v>133</v>
      </c>
      <c r="B278" s="166" t="s">
        <v>718</v>
      </c>
      <c r="C278" s="166" t="s">
        <v>717</v>
      </c>
      <c r="D278" s="157">
        <v>122</v>
      </c>
      <c r="E278" s="157">
        <f>+'SMT KIT Rcvd '!D277</f>
        <v>0</v>
      </c>
      <c r="F278" s="157">
        <f>'Excise Dispatch '!D277</f>
        <v>0</v>
      </c>
      <c r="G278" s="157">
        <f>+'PACK Prod'!D277</f>
        <v>0</v>
      </c>
      <c r="H278" s="157">
        <f t="shared" si="26"/>
        <v>122</v>
      </c>
      <c r="I278" s="158">
        <f t="shared" si="27"/>
        <v>122</v>
      </c>
      <c r="J278" s="157">
        <f t="shared" si="29"/>
        <v>0</v>
      </c>
      <c r="K278" s="157">
        <v>0</v>
      </c>
      <c r="L278" s="159">
        <f t="shared" si="28"/>
        <v>-122</v>
      </c>
      <c r="M278" s="157">
        <v>122</v>
      </c>
    </row>
    <row r="279" spans="1:13" s="67" customFormat="1" ht="15.75" customHeight="1" x14ac:dyDescent="0.2">
      <c r="A279" s="48">
        <v>134</v>
      </c>
      <c r="B279" s="176" t="s">
        <v>1079</v>
      </c>
      <c r="C279" s="176" t="s">
        <v>1077</v>
      </c>
      <c r="D279" s="157">
        <v>0</v>
      </c>
      <c r="E279" s="157">
        <f>+'SMT KIT Rcvd '!D278</f>
        <v>4800</v>
      </c>
      <c r="F279" s="157">
        <f>'Excise Dispatch '!D278</f>
        <v>4800</v>
      </c>
      <c r="G279" s="157">
        <f>+'PACK Prod'!D278</f>
        <v>4800</v>
      </c>
      <c r="H279" s="157">
        <f t="shared" si="26"/>
        <v>0</v>
      </c>
      <c r="I279" s="158">
        <f t="shared" si="27"/>
        <v>0</v>
      </c>
      <c r="J279" s="157">
        <f t="shared" si="29"/>
        <v>0</v>
      </c>
      <c r="K279" s="157">
        <v>4800</v>
      </c>
      <c r="L279" s="159">
        <f t="shared" si="28"/>
        <v>0</v>
      </c>
      <c r="M279" s="157">
        <v>0</v>
      </c>
    </row>
    <row r="280" spans="1:13" s="67" customFormat="1" ht="15.75" customHeight="1" x14ac:dyDescent="0.2">
      <c r="A280" s="48">
        <v>135</v>
      </c>
      <c r="B280" s="176" t="s">
        <v>1080</v>
      </c>
      <c r="C280" s="176" t="s">
        <v>1078</v>
      </c>
      <c r="D280" s="157">
        <v>0</v>
      </c>
      <c r="E280" s="157">
        <f>+'SMT KIT Rcvd '!D279</f>
        <v>3900</v>
      </c>
      <c r="F280" s="157">
        <f>'Excise Dispatch '!D279</f>
        <v>3900</v>
      </c>
      <c r="G280" s="157">
        <f>+'PACK Prod'!D279</f>
        <v>3900</v>
      </c>
      <c r="H280" s="157">
        <f t="shared" si="26"/>
        <v>0</v>
      </c>
      <c r="I280" s="158">
        <f t="shared" si="27"/>
        <v>0</v>
      </c>
      <c r="J280" s="157">
        <f t="shared" si="29"/>
        <v>0</v>
      </c>
      <c r="K280" s="157">
        <v>3900</v>
      </c>
      <c r="L280" s="159">
        <f t="shared" si="28"/>
        <v>0</v>
      </c>
      <c r="M280" s="157">
        <v>0</v>
      </c>
    </row>
    <row r="281" spans="1:13" s="67" customFormat="1" ht="15.75" customHeight="1" x14ac:dyDescent="0.2">
      <c r="A281" s="48">
        <v>136</v>
      </c>
      <c r="B281" s="176" t="s">
        <v>1082</v>
      </c>
      <c r="C281" s="176" t="s">
        <v>1081</v>
      </c>
      <c r="D281" s="157">
        <v>0</v>
      </c>
      <c r="E281" s="157">
        <f>+'SMT KIT Rcvd '!D280</f>
        <v>2800</v>
      </c>
      <c r="F281" s="157">
        <f>'Excise Dispatch '!D280</f>
        <v>2800</v>
      </c>
      <c r="G281" s="157">
        <f>+'PACK Prod'!D280</f>
        <v>2800</v>
      </c>
      <c r="H281" s="157">
        <f t="shared" si="26"/>
        <v>0</v>
      </c>
      <c r="I281" s="158">
        <f t="shared" si="27"/>
        <v>0</v>
      </c>
      <c r="J281" s="157">
        <f t="shared" si="29"/>
        <v>0</v>
      </c>
      <c r="K281" s="157">
        <v>2800</v>
      </c>
      <c r="L281" s="159">
        <f t="shared" si="28"/>
        <v>0</v>
      </c>
      <c r="M281" s="157">
        <v>0</v>
      </c>
    </row>
    <row r="282" spans="1:13" s="67" customFormat="1" ht="15.75" customHeight="1" x14ac:dyDescent="0.2">
      <c r="A282" s="48">
        <v>137</v>
      </c>
      <c r="B282" s="166" t="s">
        <v>913</v>
      </c>
      <c r="C282" s="166" t="s">
        <v>912</v>
      </c>
      <c r="D282" s="157">
        <v>0</v>
      </c>
      <c r="E282" s="157">
        <f>+'SMT KIT Rcvd '!D281</f>
        <v>0</v>
      </c>
      <c r="F282" s="157">
        <f>'Excise Dispatch '!D281</f>
        <v>0</v>
      </c>
      <c r="G282" s="157">
        <f>+'PACK Prod'!D281</f>
        <v>0</v>
      </c>
      <c r="H282" s="157">
        <f t="shared" si="26"/>
        <v>0</v>
      </c>
      <c r="I282" s="158">
        <f t="shared" si="27"/>
        <v>0</v>
      </c>
      <c r="J282" s="157">
        <f t="shared" si="29"/>
        <v>0</v>
      </c>
      <c r="K282" s="157">
        <v>0</v>
      </c>
      <c r="L282" s="159">
        <f t="shared" si="28"/>
        <v>0</v>
      </c>
      <c r="M282" s="157">
        <v>0</v>
      </c>
    </row>
    <row r="283" spans="1:13" s="67" customFormat="1" ht="15.75" customHeight="1" x14ac:dyDescent="0.2">
      <c r="A283" s="48">
        <v>138</v>
      </c>
      <c r="B283" s="166" t="s">
        <v>802</v>
      </c>
      <c r="C283" s="166" t="s">
        <v>801</v>
      </c>
      <c r="D283" s="157">
        <v>0</v>
      </c>
      <c r="E283" s="157">
        <f>+'SMT KIT Rcvd '!D282</f>
        <v>9000</v>
      </c>
      <c r="F283" s="157">
        <f>'Excise Dispatch '!D282</f>
        <v>9000</v>
      </c>
      <c r="G283" s="157">
        <f>+'PACK Prod'!D282</f>
        <v>9000</v>
      </c>
      <c r="H283" s="157">
        <f t="shared" si="26"/>
        <v>0</v>
      </c>
      <c r="I283" s="158">
        <f t="shared" si="27"/>
        <v>0</v>
      </c>
      <c r="J283" s="157">
        <f t="shared" si="29"/>
        <v>0</v>
      </c>
      <c r="K283" s="157">
        <v>9000</v>
      </c>
      <c r="L283" s="159">
        <f t="shared" si="28"/>
        <v>0</v>
      </c>
      <c r="M283" s="157">
        <v>0</v>
      </c>
    </row>
    <row r="284" spans="1:13" s="67" customFormat="1" ht="15.75" customHeight="1" x14ac:dyDescent="0.2">
      <c r="A284" s="48">
        <v>139</v>
      </c>
      <c r="B284" s="166" t="s">
        <v>545</v>
      </c>
      <c r="C284" s="166" t="s">
        <v>544</v>
      </c>
      <c r="D284" s="157">
        <v>1722</v>
      </c>
      <c r="E284" s="157">
        <f>+'SMT KIT Rcvd '!D283</f>
        <v>380</v>
      </c>
      <c r="F284" s="157">
        <f>'Excise Dispatch '!D283</f>
        <v>2102</v>
      </c>
      <c r="G284" s="157">
        <f>+'PACK Prod'!D283</f>
        <v>378</v>
      </c>
      <c r="H284" s="157">
        <f t="shared" ref="H284:H303" si="30">D284+E284-F284</f>
        <v>0</v>
      </c>
      <c r="I284" s="158">
        <f t="shared" ref="I284:I303" si="31">G284+M284-F284</f>
        <v>0</v>
      </c>
      <c r="J284" s="157">
        <f t="shared" si="29"/>
        <v>0</v>
      </c>
      <c r="K284" s="157">
        <v>380</v>
      </c>
      <c r="L284" s="159">
        <f t="shared" si="28"/>
        <v>-1722</v>
      </c>
      <c r="M284" s="157">
        <v>1724</v>
      </c>
    </row>
    <row r="285" spans="1:13" s="67" customFormat="1" ht="15.75" customHeight="1" x14ac:dyDescent="0.2">
      <c r="A285" s="48">
        <v>140</v>
      </c>
      <c r="B285" s="166" t="s">
        <v>574</v>
      </c>
      <c r="C285" s="166" t="s">
        <v>572</v>
      </c>
      <c r="D285" s="157">
        <v>0</v>
      </c>
      <c r="E285" s="157">
        <f>+'SMT KIT Rcvd '!D284</f>
        <v>780</v>
      </c>
      <c r="F285" s="157">
        <f>'Excise Dispatch '!D284</f>
        <v>780</v>
      </c>
      <c r="G285" s="157">
        <f>+'PACK Prod'!D284</f>
        <v>780</v>
      </c>
      <c r="H285" s="157">
        <f t="shared" si="30"/>
        <v>0</v>
      </c>
      <c r="I285" s="158">
        <f t="shared" si="31"/>
        <v>0</v>
      </c>
      <c r="J285" s="157">
        <f t="shared" si="29"/>
        <v>0</v>
      </c>
      <c r="K285" s="157">
        <v>780</v>
      </c>
      <c r="L285" s="159">
        <f t="shared" si="28"/>
        <v>0</v>
      </c>
      <c r="M285" s="157">
        <v>0</v>
      </c>
    </row>
    <row r="286" spans="1:13" s="67" customFormat="1" ht="15.75" customHeight="1" x14ac:dyDescent="0.2">
      <c r="A286" s="48">
        <v>141</v>
      </c>
      <c r="B286" s="166" t="s">
        <v>575</v>
      </c>
      <c r="C286" s="166" t="s">
        <v>573</v>
      </c>
      <c r="D286" s="157">
        <v>0</v>
      </c>
      <c r="E286" s="157">
        <f>+'SMT KIT Rcvd '!D285</f>
        <v>1780</v>
      </c>
      <c r="F286" s="157">
        <f>'Excise Dispatch '!D285</f>
        <v>1780</v>
      </c>
      <c r="G286" s="157">
        <f>+'PACK Prod'!D285</f>
        <v>1780</v>
      </c>
      <c r="H286" s="157">
        <f t="shared" si="30"/>
        <v>0</v>
      </c>
      <c r="I286" s="158">
        <f t="shared" si="31"/>
        <v>0</v>
      </c>
      <c r="J286" s="157">
        <f t="shared" si="29"/>
        <v>0</v>
      </c>
      <c r="K286" s="157">
        <v>1780</v>
      </c>
      <c r="L286" s="159">
        <f t="shared" si="28"/>
        <v>0</v>
      </c>
      <c r="M286" s="157">
        <v>0</v>
      </c>
    </row>
    <row r="287" spans="1:13" s="67" customFormat="1" ht="15.75" customHeight="1" x14ac:dyDescent="0.2">
      <c r="A287" s="48">
        <v>142</v>
      </c>
      <c r="B287" s="166" t="s">
        <v>1010</v>
      </c>
      <c r="C287" s="166" t="s">
        <v>1005</v>
      </c>
      <c r="D287" s="157">
        <v>0</v>
      </c>
      <c r="E287" s="157">
        <f>+'SMT KIT Rcvd '!D286</f>
        <v>3000</v>
      </c>
      <c r="F287" s="157">
        <f>'Excise Dispatch '!D286</f>
        <v>3000</v>
      </c>
      <c r="G287" s="157">
        <f>+'PACK Prod'!D286</f>
        <v>3000</v>
      </c>
      <c r="H287" s="157">
        <f t="shared" si="30"/>
        <v>0</v>
      </c>
      <c r="I287" s="158">
        <f t="shared" si="31"/>
        <v>0</v>
      </c>
      <c r="J287" s="157">
        <f t="shared" si="29"/>
        <v>0</v>
      </c>
      <c r="K287" s="157">
        <v>3000</v>
      </c>
      <c r="L287" s="159">
        <f t="shared" ref="L287:L303" si="32">K287-D287-E287</f>
        <v>0</v>
      </c>
      <c r="M287" s="157">
        <v>0</v>
      </c>
    </row>
    <row r="288" spans="1:13" s="67" customFormat="1" ht="15.75" customHeight="1" x14ac:dyDescent="0.2">
      <c r="A288" s="48">
        <v>143</v>
      </c>
      <c r="B288" s="166" t="s">
        <v>1011</v>
      </c>
      <c r="C288" s="166" t="s">
        <v>1006</v>
      </c>
      <c r="D288" s="157">
        <v>0</v>
      </c>
      <c r="E288" s="157">
        <f>+'SMT KIT Rcvd '!D287</f>
        <v>780</v>
      </c>
      <c r="F288" s="157">
        <f>'Excise Dispatch '!D287</f>
        <v>780</v>
      </c>
      <c r="G288" s="157">
        <f>+'PACK Prod'!D287</f>
        <v>780</v>
      </c>
      <c r="H288" s="157">
        <f t="shared" si="30"/>
        <v>0</v>
      </c>
      <c r="I288" s="158">
        <f t="shared" si="31"/>
        <v>0</v>
      </c>
      <c r="J288" s="157">
        <f t="shared" si="29"/>
        <v>0</v>
      </c>
      <c r="K288" s="157">
        <v>780</v>
      </c>
      <c r="L288" s="159">
        <f t="shared" si="32"/>
        <v>0</v>
      </c>
      <c r="M288" s="157">
        <v>0</v>
      </c>
    </row>
    <row r="289" spans="1:13" s="67" customFormat="1" ht="15.75" customHeight="1" x14ac:dyDescent="0.2">
      <c r="A289" s="48">
        <v>144</v>
      </c>
      <c r="B289" s="166" t="s">
        <v>1012</v>
      </c>
      <c r="C289" s="166" t="s">
        <v>1007</v>
      </c>
      <c r="D289" s="157">
        <v>0</v>
      </c>
      <c r="E289" s="157">
        <f>+'SMT KIT Rcvd '!D288</f>
        <v>1000</v>
      </c>
      <c r="F289" s="157">
        <f>'Excise Dispatch '!D288</f>
        <v>1000</v>
      </c>
      <c r="G289" s="157">
        <f>+'PACK Prod'!D288</f>
        <v>1000</v>
      </c>
      <c r="H289" s="157">
        <f t="shared" si="30"/>
        <v>0</v>
      </c>
      <c r="I289" s="158">
        <f t="shared" si="31"/>
        <v>0</v>
      </c>
      <c r="J289" s="157">
        <f t="shared" si="29"/>
        <v>0</v>
      </c>
      <c r="K289" s="157">
        <v>1000</v>
      </c>
      <c r="L289" s="159">
        <f t="shared" si="32"/>
        <v>0</v>
      </c>
      <c r="M289" s="157">
        <v>0</v>
      </c>
    </row>
    <row r="290" spans="1:13" s="67" customFormat="1" ht="15.75" customHeight="1" x14ac:dyDescent="0.2">
      <c r="A290" s="48">
        <v>145</v>
      </c>
      <c r="B290" s="166" t="s">
        <v>1013</v>
      </c>
      <c r="C290" s="166" t="s">
        <v>1008</v>
      </c>
      <c r="D290" s="157">
        <v>0</v>
      </c>
      <c r="E290" s="157">
        <f>+'SMT KIT Rcvd '!D289</f>
        <v>1180</v>
      </c>
      <c r="F290" s="157">
        <f>'Excise Dispatch '!D289</f>
        <v>1180</v>
      </c>
      <c r="G290" s="157">
        <f>+'PACK Prod'!D289</f>
        <v>1180</v>
      </c>
      <c r="H290" s="157">
        <f t="shared" si="30"/>
        <v>0</v>
      </c>
      <c r="I290" s="158">
        <f t="shared" si="31"/>
        <v>0</v>
      </c>
      <c r="J290" s="157">
        <f t="shared" si="29"/>
        <v>0</v>
      </c>
      <c r="K290" s="157">
        <v>1180</v>
      </c>
      <c r="L290" s="159">
        <f t="shared" si="32"/>
        <v>0</v>
      </c>
      <c r="M290" s="157">
        <v>0</v>
      </c>
    </row>
    <row r="291" spans="1:13" s="67" customFormat="1" ht="15.75" customHeight="1" x14ac:dyDescent="0.2">
      <c r="A291" s="48">
        <v>146</v>
      </c>
      <c r="B291" s="166" t="s">
        <v>1014</v>
      </c>
      <c r="C291" s="166" t="s">
        <v>1009</v>
      </c>
      <c r="D291" s="157">
        <v>0</v>
      </c>
      <c r="E291" s="157">
        <f>+'SMT KIT Rcvd '!D290</f>
        <v>280</v>
      </c>
      <c r="F291" s="157">
        <f>'Excise Dispatch '!D290</f>
        <v>280</v>
      </c>
      <c r="G291" s="157">
        <f>+'PACK Prod'!D290</f>
        <v>280</v>
      </c>
      <c r="H291" s="157">
        <f t="shared" si="30"/>
        <v>0</v>
      </c>
      <c r="I291" s="158">
        <f t="shared" si="31"/>
        <v>0</v>
      </c>
      <c r="J291" s="157">
        <f t="shared" si="29"/>
        <v>0</v>
      </c>
      <c r="K291" s="157">
        <v>280</v>
      </c>
      <c r="L291" s="159">
        <f t="shared" si="32"/>
        <v>0</v>
      </c>
      <c r="M291" s="157">
        <v>0</v>
      </c>
    </row>
    <row r="292" spans="1:13" s="67" customFormat="1" ht="15.75" customHeight="1" x14ac:dyDescent="0.2">
      <c r="A292" s="48">
        <v>147</v>
      </c>
      <c r="B292" s="166" t="s">
        <v>1016</v>
      </c>
      <c r="C292" s="166" t="s">
        <v>1015</v>
      </c>
      <c r="D292" s="157">
        <v>0</v>
      </c>
      <c r="E292" s="157">
        <f>+'SMT KIT Rcvd '!D291</f>
        <v>100</v>
      </c>
      <c r="F292" s="157">
        <f>'Excise Dispatch '!D291</f>
        <v>100</v>
      </c>
      <c r="G292" s="157">
        <f>+'PACK Prod'!D291</f>
        <v>100</v>
      </c>
      <c r="H292" s="157">
        <f t="shared" si="30"/>
        <v>0</v>
      </c>
      <c r="I292" s="158">
        <f t="shared" si="31"/>
        <v>0</v>
      </c>
      <c r="J292" s="157">
        <f t="shared" si="29"/>
        <v>0</v>
      </c>
      <c r="K292" s="157">
        <v>100</v>
      </c>
      <c r="L292" s="159">
        <f t="shared" si="32"/>
        <v>0</v>
      </c>
      <c r="M292" s="157">
        <v>0</v>
      </c>
    </row>
    <row r="293" spans="1:13" s="67" customFormat="1" ht="15.75" customHeight="1" x14ac:dyDescent="0.2">
      <c r="A293" s="48">
        <v>148</v>
      </c>
      <c r="B293" s="166" t="s">
        <v>577</v>
      </c>
      <c r="C293" s="166" t="s">
        <v>576</v>
      </c>
      <c r="D293" s="157">
        <v>0</v>
      </c>
      <c r="E293" s="157">
        <f>+'SMT KIT Rcvd '!D292</f>
        <v>6800</v>
      </c>
      <c r="F293" s="157">
        <f>'Excise Dispatch '!D292</f>
        <v>6800</v>
      </c>
      <c r="G293" s="157">
        <f>+'PACK Prod'!D292</f>
        <v>6800</v>
      </c>
      <c r="H293" s="157">
        <f t="shared" si="30"/>
        <v>0</v>
      </c>
      <c r="I293" s="158">
        <f t="shared" si="31"/>
        <v>0</v>
      </c>
      <c r="J293" s="157">
        <f t="shared" si="29"/>
        <v>0</v>
      </c>
      <c r="K293" s="157">
        <v>6800</v>
      </c>
      <c r="L293" s="159">
        <f t="shared" si="32"/>
        <v>0</v>
      </c>
      <c r="M293" s="157">
        <v>0</v>
      </c>
    </row>
    <row r="294" spans="1:13" s="67" customFormat="1" ht="15.75" customHeight="1" x14ac:dyDescent="0.2">
      <c r="A294" s="48">
        <v>149</v>
      </c>
      <c r="B294" s="166" t="s">
        <v>1018</v>
      </c>
      <c r="C294" s="166" t="s">
        <v>1017</v>
      </c>
      <c r="D294" s="157">
        <v>0</v>
      </c>
      <c r="E294" s="157">
        <f>+'SMT KIT Rcvd '!D293</f>
        <v>100</v>
      </c>
      <c r="F294" s="157">
        <f>'Excise Dispatch '!D293</f>
        <v>100</v>
      </c>
      <c r="G294" s="157">
        <f>+'PACK Prod'!D293</f>
        <v>100</v>
      </c>
      <c r="H294" s="157">
        <f t="shared" si="30"/>
        <v>0</v>
      </c>
      <c r="I294" s="158">
        <f t="shared" si="31"/>
        <v>0</v>
      </c>
      <c r="J294" s="157">
        <f t="shared" si="29"/>
        <v>0</v>
      </c>
      <c r="K294" s="157">
        <v>100</v>
      </c>
      <c r="L294" s="159">
        <f t="shared" si="32"/>
        <v>0</v>
      </c>
      <c r="M294" s="157">
        <v>0</v>
      </c>
    </row>
    <row r="295" spans="1:13" s="67" customFormat="1" ht="15.75" customHeight="1" x14ac:dyDescent="0.2">
      <c r="A295" s="48">
        <v>150</v>
      </c>
      <c r="B295" s="166" t="s">
        <v>563</v>
      </c>
      <c r="C295" s="166" t="s">
        <v>558</v>
      </c>
      <c r="D295" s="157">
        <v>0</v>
      </c>
      <c r="E295" s="157">
        <f>+'SMT KIT Rcvd '!D294</f>
        <v>120</v>
      </c>
      <c r="F295" s="157">
        <f>'Excise Dispatch '!D294</f>
        <v>120</v>
      </c>
      <c r="G295" s="157">
        <f>+'PACK Prod'!D294</f>
        <v>120</v>
      </c>
      <c r="H295" s="157">
        <f t="shared" si="30"/>
        <v>0</v>
      </c>
      <c r="I295" s="158">
        <f t="shared" si="31"/>
        <v>0</v>
      </c>
      <c r="J295" s="157">
        <f t="shared" si="29"/>
        <v>0</v>
      </c>
      <c r="K295" s="157">
        <v>120</v>
      </c>
      <c r="L295" s="159">
        <f t="shared" si="32"/>
        <v>0</v>
      </c>
      <c r="M295" s="157">
        <v>0</v>
      </c>
    </row>
    <row r="296" spans="1:13" s="67" customFormat="1" ht="15.75" customHeight="1" x14ac:dyDescent="0.2">
      <c r="A296" s="48">
        <v>151</v>
      </c>
      <c r="B296" s="166" t="s">
        <v>564</v>
      </c>
      <c r="C296" s="166" t="s">
        <v>559</v>
      </c>
      <c r="D296" s="157">
        <v>0</v>
      </c>
      <c r="E296" s="157">
        <f>+'SMT KIT Rcvd '!D295</f>
        <v>700</v>
      </c>
      <c r="F296" s="157">
        <f>'Excise Dispatch '!D295</f>
        <v>700</v>
      </c>
      <c r="G296" s="157">
        <f>+'PACK Prod'!D295</f>
        <v>700</v>
      </c>
      <c r="H296" s="157">
        <f t="shared" si="30"/>
        <v>0</v>
      </c>
      <c r="I296" s="158">
        <f t="shared" si="31"/>
        <v>0</v>
      </c>
      <c r="J296" s="157">
        <f t="shared" si="29"/>
        <v>0</v>
      </c>
      <c r="K296" s="157">
        <v>700</v>
      </c>
      <c r="L296" s="159">
        <f t="shared" si="32"/>
        <v>0</v>
      </c>
      <c r="M296" s="157">
        <v>0</v>
      </c>
    </row>
    <row r="297" spans="1:13" s="67" customFormat="1" ht="15.75" customHeight="1" x14ac:dyDescent="0.2">
      <c r="A297" s="48">
        <v>152</v>
      </c>
      <c r="B297" s="166" t="s">
        <v>565</v>
      </c>
      <c r="C297" s="166" t="s">
        <v>560</v>
      </c>
      <c r="D297" s="157">
        <v>0</v>
      </c>
      <c r="E297" s="157">
        <f>+'SMT KIT Rcvd '!D296</f>
        <v>100</v>
      </c>
      <c r="F297" s="157">
        <f>'Excise Dispatch '!D296</f>
        <v>100</v>
      </c>
      <c r="G297" s="157">
        <f>+'PACK Prod'!D296</f>
        <v>100</v>
      </c>
      <c r="H297" s="157">
        <f t="shared" si="30"/>
        <v>0</v>
      </c>
      <c r="I297" s="158">
        <f t="shared" si="31"/>
        <v>0</v>
      </c>
      <c r="J297" s="157">
        <f t="shared" si="29"/>
        <v>0</v>
      </c>
      <c r="K297" s="157">
        <v>100</v>
      </c>
      <c r="L297" s="159">
        <f t="shared" si="32"/>
        <v>0</v>
      </c>
      <c r="M297" s="157">
        <v>0</v>
      </c>
    </row>
    <row r="298" spans="1:13" s="67" customFormat="1" ht="15.75" customHeight="1" x14ac:dyDescent="0.2">
      <c r="A298" s="48">
        <v>153</v>
      </c>
      <c r="B298" s="176" t="s">
        <v>1220</v>
      </c>
      <c r="C298" s="176" t="s">
        <v>1219</v>
      </c>
      <c r="D298" s="157">
        <v>0</v>
      </c>
      <c r="E298" s="157">
        <f>+'SMT KIT Rcvd '!D297</f>
        <v>10000</v>
      </c>
      <c r="F298" s="157">
        <f>'Excise Dispatch '!D297</f>
        <v>10000</v>
      </c>
      <c r="G298" s="157">
        <f>+'PACK Prod'!D297</f>
        <v>10000</v>
      </c>
      <c r="H298" s="157">
        <f t="shared" si="30"/>
        <v>0</v>
      </c>
      <c r="I298" s="158">
        <f t="shared" si="31"/>
        <v>0</v>
      </c>
      <c r="J298" s="157">
        <f t="shared" si="29"/>
        <v>0</v>
      </c>
      <c r="K298" s="157">
        <v>10000</v>
      </c>
      <c r="L298" s="159">
        <f t="shared" si="32"/>
        <v>0</v>
      </c>
      <c r="M298" s="157">
        <v>0</v>
      </c>
    </row>
    <row r="299" spans="1:13" s="67" customFormat="1" ht="15.75" customHeight="1" x14ac:dyDescent="0.2">
      <c r="A299" s="48">
        <v>154</v>
      </c>
      <c r="B299" s="166" t="s">
        <v>566</v>
      </c>
      <c r="C299" s="166" t="s">
        <v>561</v>
      </c>
      <c r="D299" s="157">
        <v>0</v>
      </c>
      <c r="E299" s="157">
        <f>+'SMT KIT Rcvd '!D298</f>
        <v>2120</v>
      </c>
      <c r="F299" s="157">
        <f>'Excise Dispatch '!D298</f>
        <v>2120</v>
      </c>
      <c r="G299" s="157">
        <f>+'PACK Prod'!D298</f>
        <v>2120</v>
      </c>
      <c r="H299" s="157">
        <f t="shared" si="30"/>
        <v>0</v>
      </c>
      <c r="I299" s="158">
        <f t="shared" si="31"/>
        <v>0</v>
      </c>
      <c r="J299" s="157">
        <f t="shared" si="29"/>
        <v>0</v>
      </c>
      <c r="K299" s="157">
        <v>2120</v>
      </c>
      <c r="L299" s="159">
        <f t="shared" si="32"/>
        <v>0</v>
      </c>
      <c r="M299" s="157">
        <v>0</v>
      </c>
    </row>
    <row r="300" spans="1:13" s="67" customFormat="1" ht="15.75" customHeight="1" x14ac:dyDescent="0.2">
      <c r="A300" s="48">
        <v>155</v>
      </c>
      <c r="B300" s="166" t="s">
        <v>567</v>
      </c>
      <c r="C300" s="166" t="s">
        <v>562</v>
      </c>
      <c r="D300" s="157">
        <v>0</v>
      </c>
      <c r="E300" s="157">
        <f>+'SMT KIT Rcvd '!D299</f>
        <v>0</v>
      </c>
      <c r="F300" s="157">
        <f>'Excise Dispatch '!D299</f>
        <v>0</v>
      </c>
      <c r="G300" s="157">
        <f>+'PACK Prod'!D299</f>
        <v>0</v>
      </c>
      <c r="H300" s="157">
        <f t="shared" si="30"/>
        <v>0</v>
      </c>
      <c r="I300" s="158">
        <f t="shared" si="31"/>
        <v>0</v>
      </c>
      <c r="J300" s="157">
        <f t="shared" si="29"/>
        <v>0</v>
      </c>
      <c r="K300" s="157">
        <v>0</v>
      </c>
      <c r="L300" s="159">
        <f t="shared" si="32"/>
        <v>0</v>
      </c>
      <c r="M300" s="157">
        <v>0</v>
      </c>
    </row>
    <row r="301" spans="1:13" s="67" customFormat="1" ht="15.75" customHeight="1" x14ac:dyDescent="0.2">
      <c r="A301" s="48">
        <v>156</v>
      </c>
      <c r="B301" s="166" t="s">
        <v>410</v>
      </c>
      <c r="C301" s="166" t="s">
        <v>409</v>
      </c>
      <c r="D301" s="157">
        <v>0</v>
      </c>
      <c r="E301" s="157">
        <f>+'SMT KIT Rcvd '!D300</f>
        <v>0</v>
      </c>
      <c r="F301" s="157">
        <f>'Excise Dispatch '!D300</f>
        <v>0</v>
      </c>
      <c r="G301" s="157">
        <f>+'PACK Prod'!D300</f>
        <v>0</v>
      </c>
      <c r="H301" s="157">
        <f t="shared" si="30"/>
        <v>0</v>
      </c>
      <c r="I301" s="158">
        <f t="shared" si="31"/>
        <v>0</v>
      </c>
      <c r="J301" s="157">
        <f t="shared" si="29"/>
        <v>0</v>
      </c>
      <c r="K301" s="157">
        <v>0</v>
      </c>
      <c r="L301" s="159">
        <f t="shared" si="32"/>
        <v>0</v>
      </c>
      <c r="M301" s="157">
        <v>0</v>
      </c>
    </row>
    <row r="302" spans="1:13" s="67" customFormat="1" ht="15.75" customHeight="1" x14ac:dyDescent="0.2">
      <c r="A302" s="48">
        <v>157</v>
      </c>
      <c r="B302" s="166" t="s">
        <v>412</v>
      </c>
      <c r="C302" s="166" t="s">
        <v>411</v>
      </c>
      <c r="D302" s="157">
        <v>0</v>
      </c>
      <c r="E302" s="157">
        <f>+'SMT KIT Rcvd '!D301</f>
        <v>15610</v>
      </c>
      <c r="F302" s="157">
        <f>'Excise Dispatch '!D301</f>
        <v>15610</v>
      </c>
      <c r="G302" s="157">
        <f>+'PACK Prod'!D301</f>
        <v>15610</v>
      </c>
      <c r="H302" s="157">
        <f t="shared" si="30"/>
        <v>0</v>
      </c>
      <c r="I302" s="158">
        <f t="shared" si="31"/>
        <v>0</v>
      </c>
      <c r="J302" s="157">
        <f t="shared" si="29"/>
        <v>0</v>
      </c>
      <c r="K302" s="157">
        <v>15610</v>
      </c>
      <c r="L302" s="159">
        <f t="shared" si="32"/>
        <v>0</v>
      </c>
      <c r="M302" s="157">
        <v>0</v>
      </c>
    </row>
    <row r="303" spans="1:13" s="67" customFormat="1" ht="15.75" customHeight="1" x14ac:dyDescent="0.2">
      <c r="A303" s="48">
        <v>158</v>
      </c>
      <c r="B303" s="166" t="s">
        <v>768</v>
      </c>
      <c r="C303" s="166" t="s">
        <v>767</v>
      </c>
      <c r="D303" s="157">
        <v>0</v>
      </c>
      <c r="E303" s="157">
        <f>+'SMT KIT Rcvd '!D302</f>
        <v>500</v>
      </c>
      <c r="F303" s="157">
        <f>'Excise Dispatch '!D302</f>
        <v>500</v>
      </c>
      <c r="G303" s="157">
        <f>+'PACK Prod'!D302</f>
        <v>500</v>
      </c>
      <c r="H303" s="157">
        <f t="shared" si="30"/>
        <v>0</v>
      </c>
      <c r="I303" s="158">
        <f t="shared" si="31"/>
        <v>0</v>
      </c>
      <c r="J303" s="157">
        <f t="shared" si="29"/>
        <v>0</v>
      </c>
      <c r="K303" s="157">
        <v>500</v>
      </c>
      <c r="L303" s="159">
        <f t="shared" si="32"/>
        <v>0</v>
      </c>
      <c r="M303" s="157">
        <v>0</v>
      </c>
    </row>
    <row r="304" spans="1:13" s="153" customFormat="1" ht="14.25" customHeight="1" x14ac:dyDescent="0.2">
      <c r="A304" s="151" t="s">
        <v>140</v>
      </c>
      <c r="B304" s="154" t="s">
        <v>124</v>
      </c>
      <c r="C304" s="162" t="s">
        <v>141</v>
      </c>
      <c r="D304" s="164">
        <f t="shared" ref="D304:M304" si="33">SUM(D305:D336)</f>
        <v>28138</v>
      </c>
      <c r="E304" s="164">
        <f t="shared" si="33"/>
        <v>354252</v>
      </c>
      <c r="F304" s="164">
        <f t="shared" si="33"/>
        <v>377462</v>
      </c>
      <c r="G304" s="164">
        <f t="shared" si="33"/>
        <v>369449</v>
      </c>
      <c r="H304" s="164">
        <f t="shared" si="33"/>
        <v>4928</v>
      </c>
      <c r="I304" s="164">
        <f t="shared" si="33"/>
        <v>4824</v>
      </c>
      <c r="J304" s="164">
        <f t="shared" si="33"/>
        <v>104</v>
      </c>
      <c r="K304" s="164">
        <f t="shared" si="33"/>
        <v>354252</v>
      </c>
      <c r="L304" s="164">
        <f t="shared" si="33"/>
        <v>-28138</v>
      </c>
      <c r="M304" s="164">
        <f t="shared" si="33"/>
        <v>12837</v>
      </c>
    </row>
    <row r="305" spans="1:13" s="67" customFormat="1" ht="15.75" customHeight="1" x14ac:dyDescent="0.25">
      <c r="A305" s="48">
        <v>1</v>
      </c>
      <c r="B305" s="166" t="s">
        <v>839</v>
      </c>
      <c r="C305" s="166" t="s">
        <v>838</v>
      </c>
      <c r="D305" s="174">
        <v>2100</v>
      </c>
      <c r="E305" s="157">
        <f>+'SMT KIT Rcvd '!D304</f>
        <v>900</v>
      </c>
      <c r="F305" s="157">
        <f>+'Excise Dispatch '!D304</f>
        <v>3000</v>
      </c>
      <c r="G305" s="157">
        <f>+'PACK Prod'!D304</f>
        <v>900</v>
      </c>
      <c r="H305" s="157">
        <f t="shared" ref="H305:H336" si="34">D305+E305-F305</f>
        <v>0</v>
      </c>
      <c r="I305" s="158">
        <f t="shared" ref="I305:I336" si="35">G305+M305-F305</f>
        <v>0</v>
      </c>
      <c r="J305" s="157">
        <f t="shared" ref="J305:J336" si="36">+H305-I305</f>
        <v>0</v>
      </c>
      <c r="K305" s="160">
        <v>900</v>
      </c>
      <c r="L305" s="159">
        <f t="shared" ref="L305:L336" si="37">K305-D305-E305</f>
        <v>-2100</v>
      </c>
      <c r="M305" s="157">
        <v>2100</v>
      </c>
    </row>
    <row r="306" spans="1:13" s="67" customFormat="1" ht="15.75" customHeight="1" x14ac:dyDescent="0.25">
      <c r="A306" s="48">
        <v>2</v>
      </c>
      <c r="B306" s="175" t="s">
        <v>972</v>
      </c>
      <c r="C306" s="175" t="s">
        <v>971</v>
      </c>
      <c r="D306" s="174">
        <v>0</v>
      </c>
      <c r="E306" s="157">
        <f>+'SMT KIT Rcvd '!D305</f>
        <v>50000</v>
      </c>
      <c r="F306" s="157">
        <f>+'Excise Dispatch '!D305</f>
        <v>49802</v>
      </c>
      <c r="G306" s="157">
        <f>+'PACK Prod'!D305</f>
        <v>49896</v>
      </c>
      <c r="H306" s="157">
        <f t="shared" si="34"/>
        <v>198</v>
      </c>
      <c r="I306" s="158">
        <f t="shared" si="35"/>
        <v>94</v>
      </c>
      <c r="J306" s="157">
        <f t="shared" si="36"/>
        <v>104</v>
      </c>
      <c r="K306" s="160">
        <v>50000</v>
      </c>
      <c r="L306" s="159">
        <f t="shared" si="37"/>
        <v>0</v>
      </c>
      <c r="M306" s="157">
        <v>0</v>
      </c>
    </row>
    <row r="307" spans="1:13" s="67" customFormat="1" ht="15.75" customHeight="1" x14ac:dyDescent="0.25">
      <c r="A307" s="48">
        <v>3</v>
      </c>
      <c r="B307" s="175" t="s">
        <v>847</v>
      </c>
      <c r="C307" s="175" t="s">
        <v>846</v>
      </c>
      <c r="D307" s="174">
        <v>2372</v>
      </c>
      <c r="E307" s="157">
        <f>+'SMT KIT Rcvd '!D306</f>
        <v>0</v>
      </c>
      <c r="F307" s="157">
        <f>+'Excise Dispatch '!D306</f>
        <v>2372</v>
      </c>
      <c r="G307" s="157">
        <f>+'PACK Prod'!D306</f>
        <v>153</v>
      </c>
      <c r="H307" s="157">
        <f t="shared" si="34"/>
        <v>0</v>
      </c>
      <c r="I307" s="158">
        <f t="shared" si="35"/>
        <v>0</v>
      </c>
      <c r="J307" s="157">
        <f t="shared" si="36"/>
        <v>0</v>
      </c>
      <c r="K307" s="160">
        <v>0</v>
      </c>
      <c r="L307" s="159">
        <f t="shared" si="37"/>
        <v>-2372</v>
      </c>
      <c r="M307" s="157">
        <v>2219</v>
      </c>
    </row>
    <row r="308" spans="1:13" s="67" customFormat="1" ht="15.75" customHeight="1" x14ac:dyDescent="0.25">
      <c r="A308" s="48">
        <v>4</v>
      </c>
      <c r="B308" s="166" t="s">
        <v>232</v>
      </c>
      <c r="C308" s="166" t="s">
        <v>231</v>
      </c>
      <c r="D308" s="174">
        <v>4080</v>
      </c>
      <c r="E308" s="157">
        <f>+'SMT KIT Rcvd '!D307</f>
        <v>2920</v>
      </c>
      <c r="F308" s="157">
        <f>+'Excise Dispatch '!D307</f>
        <v>7000</v>
      </c>
      <c r="G308" s="157">
        <f>+'PACK Prod'!D307</f>
        <v>2920</v>
      </c>
      <c r="H308" s="157">
        <f t="shared" si="34"/>
        <v>0</v>
      </c>
      <c r="I308" s="158">
        <f t="shared" si="35"/>
        <v>0</v>
      </c>
      <c r="J308" s="157">
        <f t="shared" si="36"/>
        <v>0</v>
      </c>
      <c r="K308" s="160">
        <v>2920</v>
      </c>
      <c r="L308" s="159">
        <f t="shared" si="37"/>
        <v>-4080</v>
      </c>
      <c r="M308" s="157">
        <v>4080</v>
      </c>
    </row>
    <row r="309" spans="1:13" s="67" customFormat="1" ht="15.75" customHeight="1" x14ac:dyDescent="0.25">
      <c r="A309" s="48">
        <v>5</v>
      </c>
      <c r="B309" s="175" t="s">
        <v>867</v>
      </c>
      <c r="C309" s="175" t="s">
        <v>866</v>
      </c>
      <c r="D309" s="174">
        <v>14800</v>
      </c>
      <c r="E309" s="157">
        <f>+'SMT KIT Rcvd '!D308</f>
        <v>0</v>
      </c>
      <c r="F309" s="157">
        <f>+'Excise Dispatch '!D308</f>
        <v>14510</v>
      </c>
      <c r="G309" s="157">
        <f>+'PACK Prod'!D308</f>
        <v>14800</v>
      </c>
      <c r="H309" s="157">
        <f t="shared" si="34"/>
        <v>290</v>
      </c>
      <c r="I309" s="158">
        <f t="shared" si="35"/>
        <v>290</v>
      </c>
      <c r="J309" s="157">
        <f t="shared" si="36"/>
        <v>0</v>
      </c>
      <c r="K309" s="160">
        <v>0</v>
      </c>
      <c r="L309" s="159">
        <f t="shared" si="37"/>
        <v>-14800</v>
      </c>
      <c r="M309" s="157">
        <v>0</v>
      </c>
    </row>
    <row r="310" spans="1:13" s="67" customFormat="1" ht="15.75" customHeight="1" x14ac:dyDescent="0.25">
      <c r="A310" s="48">
        <v>6</v>
      </c>
      <c r="B310" s="176" t="s">
        <v>996</v>
      </c>
      <c r="C310" s="176" t="s">
        <v>995</v>
      </c>
      <c r="D310" s="174">
        <v>0</v>
      </c>
      <c r="E310" s="157">
        <f>+'SMT KIT Rcvd '!D309</f>
        <v>56</v>
      </c>
      <c r="F310" s="157">
        <f>+'Excise Dispatch '!D309</f>
        <v>56</v>
      </c>
      <c r="G310" s="157">
        <f>+'PACK Prod'!D309</f>
        <v>56</v>
      </c>
      <c r="H310" s="157">
        <f t="shared" si="34"/>
        <v>0</v>
      </c>
      <c r="I310" s="158">
        <f t="shared" si="35"/>
        <v>0</v>
      </c>
      <c r="J310" s="157">
        <f t="shared" si="36"/>
        <v>0</v>
      </c>
      <c r="K310" s="160">
        <v>56</v>
      </c>
      <c r="L310" s="159">
        <f t="shared" si="37"/>
        <v>0</v>
      </c>
      <c r="M310" s="157">
        <v>0</v>
      </c>
    </row>
    <row r="311" spans="1:13" s="67" customFormat="1" ht="15.75" customHeight="1" x14ac:dyDescent="0.25">
      <c r="A311" s="48">
        <v>7</v>
      </c>
      <c r="B311" s="176" t="s">
        <v>998</v>
      </c>
      <c r="C311" s="176" t="s">
        <v>997</v>
      </c>
      <c r="D311" s="174">
        <v>0</v>
      </c>
      <c r="E311" s="157">
        <f>+'SMT KIT Rcvd '!D310</f>
        <v>3900</v>
      </c>
      <c r="F311" s="157">
        <f>+'Excise Dispatch '!D310</f>
        <v>3900</v>
      </c>
      <c r="G311" s="157">
        <f>+'PACK Prod'!D310</f>
        <v>3900</v>
      </c>
      <c r="H311" s="157">
        <f t="shared" si="34"/>
        <v>0</v>
      </c>
      <c r="I311" s="158">
        <f t="shared" si="35"/>
        <v>0</v>
      </c>
      <c r="J311" s="157">
        <f t="shared" si="36"/>
        <v>0</v>
      </c>
      <c r="K311" s="160">
        <v>3900</v>
      </c>
      <c r="L311" s="159">
        <f t="shared" si="37"/>
        <v>0</v>
      </c>
      <c r="M311" s="157">
        <v>0</v>
      </c>
    </row>
    <row r="312" spans="1:13" s="67" customFormat="1" ht="15.75" customHeight="1" x14ac:dyDescent="0.25">
      <c r="A312" s="48">
        <v>8</v>
      </c>
      <c r="B312" s="166" t="s">
        <v>414</v>
      </c>
      <c r="C312" s="166" t="s">
        <v>413</v>
      </c>
      <c r="D312" s="174">
        <v>16</v>
      </c>
      <c r="E312" s="157">
        <f>+'SMT KIT Rcvd '!D311</f>
        <v>2000</v>
      </c>
      <c r="F312" s="157">
        <f>+'Excise Dispatch '!D311</f>
        <v>2016</v>
      </c>
      <c r="G312" s="157">
        <f>+'PACK Prod'!D311</f>
        <v>2000</v>
      </c>
      <c r="H312" s="157">
        <f t="shared" si="34"/>
        <v>0</v>
      </c>
      <c r="I312" s="158">
        <f t="shared" si="35"/>
        <v>0</v>
      </c>
      <c r="J312" s="157">
        <f t="shared" si="36"/>
        <v>0</v>
      </c>
      <c r="K312" s="160">
        <v>2000</v>
      </c>
      <c r="L312" s="159">
        <f t="shared" si="37"/>
        <v>-16</v>
      </c>
      <c r="M312" s="157">
        <v>16</v>
      </c>
    </row>
    <row r="313" spans="1:13" s="67" customFormat="1" ht="15.75" customHeight="1" x14ac:dyDescent="0.25">
      <c r="A313" s="48">
        <v>9</v>
      </c>
      <c r="B313" s="176" t="s">
        <v>1062</v>
      </c>
      <c r="C313" s="176" t="s">
        <v>1061</v>
      </c>
      <c r="D313" s="174">
        <v>0</v>
      </c>
      <c r="E313" s="157">
        <f>+'SMT KIT Rcvd '!D312</f>
        <v>4000</v>
      </c>
      <c r="F313" s="157">
        <f>+'Excise Dispatch '!D312</f>
        <v>4000</v>
      </c>
      <c r="G313" s="157">
        <f>+'PACK Prod'!D312</f>
        <v>4000</v>
      </c>
      <c r="H313" s="157">
        <f t="shared" si="34"/>
        <v>0</v>
      </c>
      <c r="I313" s="158">
        <f t="shared" si="35"/>
        <v>0</v>
      </c>
      <c r="J313" s="157">
        <f t="shared" si="36"/>
        <v>0</v>
      </c>
      <c r="K313" s="160">
        <v>4000</v>
      </c>
      <c r="L313" s="159">
        <f t="shared" si="37"/>
        <v>0</v>
      </c>
      <c r="M313" s="157">
        <v>0</v>
      </c>
    </row>
    <row r="314" spans="1:13" s="67" customFormat="1" ht="15.75" customHeight="1" x14ac:dyDescent="0.25">
      <c r="A314" s="48">
        <v>10</v>
      </c>
      <c r="B314" s="166" t="s">
        <v>447</v>
      </c>
      <c r="C314" s="166" t="s">
        <v>446</v>
      </c>
      <c r="D314" s="174">
        <v>2</v>
      </c>
      <c r="E314" s="157">
        <f>+'SMT KIT Rcvd '!D313</f>
        <v>10900</v>
      </c>
      <c r="F314" s="157">
        <f>+'Excise Dispatch '!D313</f>
        <v>10902</v>
      </c>
      <c r="G314" s="157">
        <f>+'PACK Prod'!D313</f>
        <v>10864</v>
      </c>
      <c r="H314" s="157">
        <f t="shared" si="34"/>
        <v>0</v>
      </c>
      <c r="I314" s="158">
        <f t="shared" si="35"/>
        <v>0</v>
      </c>
      <c r="J314" s="157">
        <f t="shared" si="36"/>
        <v>0</v>
      </c>
      <c r="K314" s="160">
        <v>10900</v>
      </c>
      <c r="L314" s="159">
        <f t="shared" si="37"/>
        <v>-2</v>
      </c>
      <c r="M314" s="157">
        <v>38</v>
      </c>
    </row>
    <row r="315" spans="1:13" s="67" customFormat="1" ht="15.75" customHeight="1" x14ac:dyDescent="0.25">
      <c r="A315" s="48">
        <v>11</v>
      </c>
      <c r="B315" s="175" t="s">
        <v>871</v>
      </c>
      <c r="C315" s="175" t="s">
        <v>870</v>
      </c>
      <c r="D315" s="174">
        <v>17</v>
      </c>
      <c r="E315" s="157">
        <f>+'SMT KIT Rcvd '!D314</f>
        <v>0</v>
      </c>
      <c r="F315" s="157">
        <f>+'Excise Dispatch '!D314</f>
        <v>17</v>
      </c>
      <c r="G315" s="157">
        <f>+'PACK Prod'!D314</f>
        <v>0</v>
      </c>
      <c r="H315" s="157">
        <f t="shared" si="34"/>
        <v>0</v>
      </c>
      <c r="I315" s="158">
        <f t="shared" si="35"/>
        <v>0</v>
      </c>
      <c r="J315" s="157">
        <f t="shared" si="36"/>
        <v>0</v>
      </c>
      <c r="K315" s="160">
        <v>0</v>
      </c>
      <c r="L315" s="159">
        <f t="shared" si="37"/>
        <v>-17</v>
      </c>
      <c r="M315" s="157">
        <v>17</v>
      </c>
    </row>
    <row r="316" spans="1:13" s="67" customFormat="1" ht="15.75" customHeight="1" x14ac:dyDescent="0.25">
      <c r="A316" s="48">
        <v>12</v>
      </c>
      <c r="B316" s="176" t="s">
        <v>1056</v>
      </c>
      <c r="C316" s="176" t="s">
        <v>1055</v>
      </c>
      <c r="D316" s="174">
        <v>0</v>
      </c>
      <c r="E316" s="157">
        <f>+'SMT KIT Rcvd '!D315</f>
        <v>2000</v>
      </c>
      <c r="F316" s="157">
        <f>+'Excise Dispatch '!D315</f>
        <v>2000</v>
      </c>
      <c r="G316" s="157">
        <f>+'PACK Prod'!D315</f>
        <v>2000</v>
      </c>
      <c r="H316" s="157">
        <f t="shared" si="34"/>
        <v>0</v>
      </c>
      <c r="I316" s="158">
        <f t="shared" si="35"/>
        <v>0</v>
      </c>
      <c r="J316" s="157">
        <f t="shared" si="36"/>
        <v>0</v>
      </c>
      <c r="K316" s="160">
        <v>2000</v>
      </c>
      <c r="L316" s="159">
        <f t="shared" si="37"/>
        <v>0</v>
      </c>
      <c r="M316" s="157">
        <v>0</v>
      </c>
    </row>
    <row r="317" spans="1:13" s="67" customFormat="1" ht="15.75" customHeight="1" x14ac:dyDescent="0.25">
      <c r="A317" s="48">
        <v>13</v>
      </c>
      <c r="B317" s="166" t="s">
        <v>262</v>
      </c>
      <c r="C317" s="166" t="s">
        <v>261</v>
      </c>
      <c r="D317" s="174">
        <v>0</v>
      </c>
      <c r="E317" s="157">
        <f>+'SMT KIT Rcvd '!D316</f>
        <v>246000</v>
      </c>
      <c r="F317" s="157">
        <f>+'Excise Dispatch '!D316</f>
        <v>244660</v>
      </c>
      <c r="G317" s="157">
        <f>+'PACK Prod'!D316</f>
        <v>246000</v>
      </c>
      <c r="H317" s="157">
        <f t="shared" si="34"/>
        <v>1340</v>
      </c>
      <c r="I317" s="158">
        <f t="shared" si="35"/>
        <v>1340</v>
      </c>
      <c r="J317" s="157">
        <f t="shared" si="36"/>
        <v>0</v>
      </c>
      <c r="K317" s="160">
        <v>246000</v>
      </c>
      <c r="L317" s="159">
        <f t="shared" si="37"/>
        <v>0</v>
      </c>
      <c r="M317" s="157">
        <v>0</v>
      </c>
    </row>
    <row r="318" spans="1:13" s="67" customFormat="1" ht="15.75" customHeight="1" x14ac:dyDescent="0.25">
      <c r="A318" s="48">
        <v>14</v>
      </c>
      <c r="B318" s="166" t="s">
        <v>338</v>
      </c>
      <c r="C318" s="166" t="s">
        <v>337</v>
      </c>
      <c r="D318" s="174">
        <v>0</v>
      </c>
      <c r="E318" s="157">
        <f>+'SMT KIT Rcvd '!D317</f>
        <v>7000</v>
      </c>
      <c r="F318" s="157">
        <f>+'Excise Dispatch '!D317</f>
        <v>7000</v>
      </c>
      <c r="G318" s="157">
        <f>+'PACK Prod'!D317</f>
        <v>7000</v>
      </c>
      <c r="H318" s="157">
        <f t="shared" si="34"/>
        <v>0</v>
      </c>
      <c r="I318" s="158">
        <f t="shared" si="35"/>
        <v>0</v>
      </c>
      <c r="J318" s="157">
        <f t="shared" si="36"/>
        <v>0</v>
      </c>
      <c r="K318" s="160">
        <v>7000</v>
      </c>
      <c r="L318" s="159">
        <f t="shared" si="37"/>
        <v>0</v>
      </c>
      <c r="M318" s="157">
        <v>0</v>
      </c>
    </row>
    <row r="319" spans="1:13" s="67" customFormat="1" ht="15.75" customHeight="1" x14ac:dyDescent="0.25">
      <c r="A319" s="48">
        <v>15</v>
      </c>
      <c r="B319" s="176" t="s">
        <v>1152</v>
      </c>
      <c r="C319" s="176" t="s">
        <v>1151</v>
      </c>
      <c r="D319" s="174">
        <v>0</v>
      </c>
      <c r="E319" s="157">
        <f>+'SMT KIT Rcvd '!D318</f>
        <v>500</v>
      </c>
      <c r="F319" s="157">
        <f>+'Excise Dispatch '!D318</f>
        <v>500</v>
      </c>
      <c r="G319" s="157">
        <f>+'PACK Prod'!D318</f>
        <v>500</v>
      </c>
      <c r="H319" s="157">
        <f t="shared" si="34"/>
        <v>0</v>
      </c>
      <c r="I319" s="158">
        <f t="shared" si="35"/>
        <v>0</v>
      </c>
      <c r="J319" s="157">
        <f t="shared" si="36"/>
        <v>0</v>
      </c>
      <c r="K319" s="160">
        <v>500</v>
      </c>
      <c r="L319" s="159">
        <f t="shared" si="37"/>
        <v>0</v>
      </c>
      <c r="M319" s="157">
        <v>0</v>
      </c>
    </row>
    <row r="320" spans="1:13" s="67" customFormat="1" ht="15.75" customHeight="1" x14ac:dyDescent="0.25">
      <c r="A320" s="48">
        <v>16</v>
      </c>
      <c r="B320" s="176" t="s">
        <v>1155</v>
      </c>
      <c r="C320" s="176" t="s">
        <v>1153</v>
      </c>
      <c r="D320" s="174">
        <v>0</v>
      </c>
      <c r="E320" s="157">
        <f>+'SMT KIT Rcvd '!D319</f>
        <v>500</v>
      </c>
      <c r="F320" s="157">
        <f>+'Excise Dispatch '!D319</f>
        <v>500</v>
      </c>
      <c r="G320" s="157">
        <f>+'PACK Prod'!D319</f>
        <v>500</v>
      </c>
      <c r="H320" s="157">
        <f t="shared" si="34"/>
        <v>0</v>
      </c>
      <c r="I320" s="158">
        <f t="shared" si="35"/>
        <v>0</v>
      </c>
      <c r="J320" s="157">
        <f t="shared" si="36"/>
        <v>0</v>
      </c>
      <c r="K320" s="160">
        <v>500</v>
      </c>
      <c r="L320" s="159">
        <f t="shared" si="37"/>
        <v>0</v>
      </c>
      <c r="M320" s="157">
        <v>0</v>
      </c>
    </row>
    <row r="321" spans="1:13" s="67" customFormat="1" ht="15.75" customHeight="1" x14ac:dyDescent="0.25">
      <c r="A321" s="48">
        <v>17</v>
      </c>
      <c r="B321" s="176" t="s">
        <v>1183</v>
      </c>
      <c r="C321" s="176" t="s">
        <v>1181</v>
      </c>
      <c r="D321" s="174">
        <v>0</v>
      </c>
      <c r="E321" s="157">
        <f>+'SMT KIT Rcvd '!D320</f>
        <v>4900</v>
      </c>
      <c r="F321" s="157">
        <f>+'Excise Dispatch '!D320</f>
        <v>4900</v>
      </c>
      <c r="G321" s="157">
        <f>+'PACK Prod'!D320</f>
        <v>4900</v>
      </c>
      <c r="H321" s="157">
        <f t="shared" si="34"/>
        <v>0</v>
      </c>
      <c r="I321" s="158">
        <f t="shared" si="35"/>
        <v>0</v>
      </c>
      <c r="J321" s="157">
        <f t="shared" si="36"/>
        <v>0</v>
      </c>
      <c r="K321" s="160">
        <v>4900</v>
      </c>
      <c r="L321" s="159">
        <f t="shared" si="37"/>
        <v>0</v>
      </c>
      <c r="M321" s="157">
        <v>0</v>
      </c>
    </row>
    <row r="322" spans="1:13" s="67" customFormat="1" ht="15.75" customHeight="1" x14ac:dyDescent="0.25">
      <c r="A322" s="48">
        <v>18</v>
      </c>
      <c r="B322" s="176" t="s">
        <v>1184</v>
      </c>
      <c r="C322" s="176" t="s">
        <v>1182</v>
      </c>
      <c r="D322" s="174">
        <v>0</v>
      </c>
      <c r="E322" s="157">
        <f>+'SMT KIT Rcvd '!D321</f>
        <v>4900</v>
      </c>
      <c r="F322" s="157">
        <f>+'Excise Dispatch '!D321</f>
        <v>4900</v>
      </c>
      <c r="G322" s="157">
        <f>+'PACK Prod'!D321</f>
        <v>4900</v>
      </c>
      <c r="H322" s="157">
        <f t="shared" si="34"/>
        <v>0</v>
      </c>
      <c r="I322" s="158">
        <f t="shared" si="35"/>
        <v>0</v>
      </c>
      <c r="J322" s="157">
        <f t="shared" si="36"/>
        <v>0</v>
      </c>
      <c r="K322" s="160">
        <v>4900</v>
      </c>
      <c r="L322" s="159">
        <f t="shared" si="37"/>
        <v>0</v>
      </c>
      <c r="M322" s="157">
        <v>0</v>
      </c>
    </row>
    <row r="323" spans="1:13" s="67" customFormat="1" ht="15.75" customHeight="1" x14ac:dyDescent="0.25">
      <c r="A323" s="48">
        <v>19</v>
      </c>
      <c r="B323" s="176" t="s">
        <v>1156</v>
      </c>
      <c r="C323" s="176" t="s">
        <v>1154</v>
      </c>
      <c r="D323" s="174">
        <v>0</v>
      </c>
      <c r="E323" s="157">
        <f>+'SMT KIT Rcvd '!D322</f>
        <v>500</v>
      </c>
      <c r="F323" s="157">
        <f>+'Excise Dispatch '!D322</f>
        <v>500</v>
      </c>
      <c r="G323" s="157">
        <f>+'PACK Prod'!D322</f>
        <v>500</v>
      </c>
      <c r="H323" s="157">
        <f t="shared" si="34"/>
        <v>0</v>
      </c>
      <c r="I323" s="158">
        <f t="shared" si="35"/>
        <v>0</v>
      </c>
      <c r="J323" s="157">
        <f t="shared" si="36"/>
        <v>0</v>
      </c>
      <c r="K323" s="160">
        <v>500</v>
      </c>
      <c r="L323" s="159">
        <f t="shared" si="37"/>
        <v>0</v>
      </c>
      <c r="M323" s="157">
        <v>0</v>
      </c>
    </row>
    <row r="324" spans="1:13" s="67" customFormat="1" ht="15.75" customHeight="1" x14ac:dyDescent="0.25">
      <c r="A324" s="48">
        <v>20</v>
      </c>
      <c r="B324" s="166" t="s">
        <v>728</v>
      </c>
      <c r="C324" s="166" t="s">
        <v>727</v>
      </c>
      <c r="D324" s="174">
        <v>476</v>
      </c>
      <c r="E324" s="157">
        <f>+'SMT KIT Rcvd '!D323</f>
        <v>0</v>
      </c>
      <c r="F324" s="157">
        <f>+'Excise Dispatch '!D323</f>
        <v>0</v>
      </c>
      <c r="G324" s="157">
        <f>+'PACK Prod'!D323</f>
        <v>400</v>
      </c>
      <c r="H324" s="157">
        <f t="shared" si="34"/>
        <v>476</v>
      </c>
      <c r="I324" s="158">
        <f t="shared" si="35"/>
        <v>476</v>
      </c>
      <c r="J324" s="157">
        <f t="shared" si="36"/>
        <v>0</v>
      </c>
      <c r="K324" s="160">
        <v>0</v>
      </c>
      <c r="L324" s="159">
        <f t="shared" si="37"/>
        <v>-476</v>
      </c>
      <c r="M324" s="157">
        <v>76</v>
      </c>
    </row>
    <row r="325" spans="1:13" s="67" customFormat="1" ht="15.75" customHeight="1" x14ac:dyDescent="0.25">
      <c r="A325" s="48">
        <v>21</v>
      </c>
      <c r="B325" s="166" t="s">
        <v>732</v>
      </c>
      <c r="C325" s="166" t="s">
        <v>729</v>
      </c>
      <c r="D325" s="174">
        <v>1248</v>
      </c>
      <c r="E325" s="157">
        <f>+'SMT KIT Rcvd '!D324</f>
        <v>0</v>
      </c>
      <c r="F325" s="157">
        <f>+'Excise Dispatch '!D324</f>
        <v>0</v>
      </c>
      <c r="G325" s="157">
        <f>+'PACK Prod'!D324</f>
        <v>0</v>
      </c>
      <c r="H325" s="157">
        <f t="shared" si="34"/>
        <v>1248</v>
      </c>
      <c r="I325" s="158">
        <f t="shared" si="35"/>
        <v>1248</v>
      </c>
      <c r="J325" s="157">
        <f t="shared" si="36"/>
        <v>0</v>
      </c>
      <c r="K325" s="160">
        <v>0</v>
      </c>
      <c r="L325" s="159">
        <f t="shared" si="37"/>
        <v>-1248</v>
      </c>
      <c r="M325" s="157">
        <v>1248</v>
      </c>
    </row>
    <row r="326" spans="1:13" s="67" customFormat="1" ht="15.75" customHeight="1" x14ac:dyDescent="0.25">
      <c r="A326" s="48">
        <v>22</v>
      </c>
      <c r="B326" s="166" t="s">
        <v>733</v>
      </c>
      <c r="C326" s="166" t="s">
        <v>730</v>
      </c>
      <c r="D326" s="174">
        <v>456</v>
      </c>
      <c r="E326" s="157">
        <f>+'SMT KIT Rcvd '!D325</f>
        <v>0</v>
      </c>
      <c r="F326" s="157">
        <f>+'Excise Dispatch '!D325</f>
        <v>0</v>
      </c>
      <c r="G326" s="157">
        <f>+'PACK Prod'!D325</f>
        <v>0</v>
      </c>
      <c r="H326" s="157">
        <f t="shared" si="34"/>
        <v>456</v>
      </c>
      <c r="I326" s="158">
        <f t="shared" si="35"/>
        <v>456</v>
      </c>
      <c r="J326" s="157">
        <f t="shared" si="36"/>
        <v>0</v>
      </c>
      <c r="K326" s="160">
        <v>0</v>
      </c>
      <c r="L326" s="159">
        <f t="shared" si="37"/>
        <v>-456</v>
      </c>
      <c r="M326" s="157">
        <v>456</v>
      </c>
    </row>
    <row r="327" spans="1:13" s="67" customFormat="1" ht="15.75" customHeight="1" x14ac:dyDescent="0.25">
      <c r="A327" s="48">
        <v>23</v>
      </c>
      <c r="B327" s="166" t="s">
        <v>734</v>
      </c>
      <c r="C327" s="166" t="s">
        <v>731</v>
      </c>
      <c r="D327" s="174">
        <v>564</v>
      </c>
      <c r="E327" s="157">
        <f>+'SMT KIT Rcvd '!D326</f>
        <v>1436</v>
      </c>
      <c r="F327" s="157">
        <f>+'Excise Dispatch '!D326</f>
        <v>2000</v>
      </c>
      <c r="G327" s="157">
        <f>+'PACK Prod'!D326</f>
        <v>1436</v>
      </c>
      <c r="H327" s="157">
        <f t="shared" si="34"/>
        <v>0</v>
      </c>
      <c r="I327" s="158">
        <f t="shared" si="35"/>
        <v>0</v>
      </c>
      <c r="J327" s="157">
        <f t="shared" si="36"/>
        <v>0</v>
      </c>
      <c r="K327" s="160">
        <v>1436</v>
      </c>
      <c r="L327" s="159">
        <f t="shared" si="37"/>
        <v>-564</v>
      </c>
      <c r="M327" s="157">
        <v>564</v>
      </c>
    </row>
    <row r="328" spans="1:13" s="67" customFormat="1" ht="15.75" customHeight="1" x14ac:dyDescent="0.25">
      <c r="A328" s="48">
        <v>24</v>
      </c>
      <c r="B328" s="176" t="s">
        <v>978</v>
      </c>
      <c r="C328" s="176" t="s">
        <v>977</v>
      </c>
      <c r="D328" s="174">
        <v>0</v>
      </c>
      <c r="E328" s="157">
        <f>+'SMT KIT Rcvd '!D327</f>
        <v>1320</v>
      </c>
      <c r="F328" s="157">
        <f>+'Excise Dispatch '!D327</f>
        <v>1320</v>
      </c>
      <c r="G328" s="157">
        <f>+'PACK Prod'!D327</f>
        <v>1320</v>
      </c>
      <c r="H328" s="157">
        <f t="shared" si="34"/>
        <v>0</v>
      </c>
      <c r="I328" s="158">
        <f t="shared" si="35"/>
        <v>0</v>
      </c>
      <c r="J328" s="157">
        <f t="shared" si="36"/>
        <v>0</v>
      </c>
      <c r="K328" s="160">
        <v>1320</v>
      </c>
      <c r="L328" s="159">
        <f t="shared" si="37"/>
        <v>0</v>
      </c>
      <c r="M328" s="157">
        <v>0</v>
      </c>
    </row>
    <row r="329" spans="1:13" s="67" customFormat="1" ht="15.75" customHeight="1" x14ac:dyDescent="0.25">
      <c r="A329" s="48">
        <v>25</v>
      </c>
      <c r="B329" s="176" t="s">
        <v>982</v>
      </c>
      <c r="C329" s="176" t="s">
        <v>979</v>
      </c>
      <c r="D329" s="174">
        <v>0</v>
      </c>
      <c r="E329" s="157">
        <f>+'SMT KIT Rcvd '!D328</f>
        <v>200</v>
      </c>
      <c r="F329" s="157">
        <f>+'Excise Dispatch '!D328</f>
        <v>0</v>
      </c>
      <c r="G329" s="157">
        <f>+'PACK Prod'!D328</f>
        <v>200</v>
      </c>
      <c r="H329" s="157">
        <f t="shared" si="34"/>
        <v>200</v>
      </c>
      <c r="I329" s="158">
        <f t="shared" si="35"/>
        <v>200</v>
      </c>
      <c r="J329" s="157">
        <f t="shared" si="36"/>
        <v>0</v>
      </c>
      <c r="K329" s="160">
        <v>200</v>
      </c>
      <c r="L329" s="159">
        <f t="shared" si="37"/>
        <v>0</v>
      </c>
      <c r="M329" s="157">
        <v>0</v>
      </c>
    </row>
    <row r="330" spans="1:13" s="67" customFormat="1" ht="15.75" customHeight="1" x14ac:dyDescent="0.25">
      <c r="A330" s="48">
        <v>26</v>
      </c>
      <c r="B330" s="176" t="s">
        <v>983</v>
      </c>
      <c r="C330" s="176" t="s">
        <v>980</v>
      </c>
      <c r="D330" s="174">
        <v>0</v>
      </c>
      <c r="E330" s="157">
        <f>+'SMT KIT Rcvd '!D329</f>
        <v>200</v>
      </c>
      <c r="F330" s="157">
        <f>+'Excise Dispatch '!D329</f>
        <v>0</v>
      </c>
      <c r="G330" s="157">
        <f>+'PACK Prod'!D329</f>
        <v>200</v>
      </c>
      <c r="H330" s="157">
        <f t="shared" si="34"/>
        <v>200</v>
      </c>
      <c r="I330" s="158">
        <f t="shared" si="35"/>
        <v>200</v>
      </c>
      <c r="J330" s="157">
        <f t="shared" si="36"/>
        <v>0</v>
      </c>
      <c r="K330" s="160">
        <v>200</v>
      </c>
      <c r="L330" s="159">
        <f t="shared" si="37"/>
        <v>0</v>
      </c>
      <c r="M330" s="157">
        <v>0</v>
      </c>
    </row>
    <row r="331" spans="1:13" s="67" customFormat="1" ht="15.75" customHeight="1" x14ac:dyDescent="0.25">
      <c r="A331" s="48">
        <v>27</v>
      </c>
      <c r="B331" s="176" t="s">
        <v>1229</v>
      </c>
      <c r="C331" s="176" t="s">
        <v>1228</v>
      </c>
      <c r="D331" s="174">
        <v>20</v>
      </c>
      <c r="E331" s="157">
        <f>+'SMT KIT Rcvd '!D330</f>
        <v>0</v>
      </c>
      <c r="F331" s="157">
        <f>+'Excise Dispatch '!D330</f>
        <v>0</v>
      </c>
      <c r="G331" s="157">
        <f>+'PACK Prod'!D330</f>
        <v>0</v>
      </c>
      <c r="H331" s="157">
        <f t="shared" si="34"/>
        <v>20</v>
      </c>
      <c r="I331" s="158">
        <f t="shared" si="35"/>
        <v>20</v>
      </c>
      <c r="J331" s="157">
        <f t="shared" si="36"/>
        <v>0</v>
      </c>
      <c r="K331" s="160">
        <v>0</v>
      </c>
      <c r="L331" s="159">
        <f t="shared" si="37"/>
        <v>-20</v>
      </c>
      <c r="M331" s="157">
        <v>20</v>
      </c>
    </row>
    <row r="332" spans="1:13" s="67" customFormat="1" ht="15.75" customHeight="1" x14ac:dyDescent="0.25">
      <c r="A332" s="48">
        <v>28</v>
      </c>
      <c r="B332" s="176" t="s">
        <v>984</v>
      </c>
      <c r="C332" s="176" t="s">
        <v>981</v>
      </c>
      <c r="D332" s="174">
        <v>0</v>
      </c>
      <c r="E332" s="157">
        <f>+'SMT KIT Rcvd '!D331</f>
        <v>100</v>
      </c>
      <c r="F332" s="157">
        <f>+'Excise Dispatch '!D331</f>
        <v>0</v>
      </c>
      <c r="G332" s="157">
        <f>+'PACK Prod'!D331</f>
        <v>100</v>
      </c>
      <c r="H332" s="157">
        <f t="shared" si="34"/>
        <v>100</v>
      </c>
      <c r="I332" s="158">
        <f t="shared" si="35"/>
        <v>100</v>
      </c>
      <c r="J332" s="157">
        <f t="shared" si="36"/>
        <v>0</v>
      </c>
      <c r="K332" s="160">
        <v>100</v>
      </c>
      <c r="L332" s="159">
        <f t="shared" si="37"/>
        <v>0</v>
      </c>
      <c r="M332" s="157">
        <v>0</v>
      </c>
    </row>
    <row r="333" spans="1:13" s="67" customFormat="1" ht="15.75" customHeight="1" x14ac:dyDescent="0.25">
      <c r="A333" s="48">
        <v>29</v>
      </c>
      <c r="B333" s="166" t="s">
        <v>326</v>
      </c>
      <c r="C333" s="166" t="s">
        <v>325</v>
      </c>
      <c r="D333" s="174">
        <v>323</v>
      </c>
      <c r="E333" s="157">
        <f>+'SMT KIT Rcvd '!D332</f>
        <v>520</v>
      </c>
      <c r="F333" s="157">
        <f>+'Excise Dispatch '!D332</f>
        <v>843</v>
      </c>
      <c r="G333" s="157">
        <f>+'PACK Prod'!D332</f>
        <v>504</v>
      </c>
      <c r="H333" s="157">
        <f t="shared" si="34"/>
        <v>0</v>
      </c>
      <c r="I333" s="158">
        <f t="shared" si="35"/>
        <v>0</v>
      </c>
      <c r="J333" s="157">
        <f t="shared" si="36"/>
        <v>0</v>
      </c>
      <c r="K333" s="160">
        <v>520</v>
      </c>
      <c r="L333" s="159">
        <f t="shared" si="37"/>
        <v>-323</v>
      </c>
      <c r="M333" s="157">
        <v>339</v>
      </c>
    </row>
    <row r="334" spans="1:13" s="67" customFormat="1" ht="15.75" customHeight="1" x14ac:dyDescent="0.25">
      <c r="A334" s="48">
        <v>30</v>
      </c>
      <c r="B334" s="176" t="s">
        <v>1090</v>
      </c>
      <c r="C334" s="176" t="s">
        <v>1089</v>
      </c>
      <c r="D334" s="174">
        <v>0</v>
      </c>
      <c r="E334" s="157">
        <f>+'SMT KIT Rcvd '!D333</f>
        <v>2000</v>
      </c>
      <c r="F334" s="157">
        <f>+'Excise Dispatch '!D333</f>
        <v>2000</v>
      </c>
      <c r="G334" s="157">
        <f>+'PACK Prod'!D333</f>
        <v>2000</v>
      </c>
      <c r="H334" s="157">
        <f t="shared" si="34"/>
        <v>0</v>
      </c>
      <c r="I334" s="158">
        <f t="shared" si="35"/>
        <v>0</v>
      </c>
      <c r="J334" s="157">
        <f t="shared" si="36"/>
        <v>0</v>
      </c>
      <c r="K334" s="160">
        <v>2000</v>
      </c>
      <c r="L334" s="159">
        <f t="shared" si="37"/>
        <v>0</v>
      </c>
      <c r="M334" s="157">
        <v>0</v>
      </c>
    </row>
    <row r="335" spans="1:13" s="67" customFormat="1" ht="15.75" customHeight="1" x14ac:dyDescent="0.25">
      <c r="A335" s="48">
        <v>31</v>
      </c>
      <c r="B335" s="166" t="s">
        <v>837</v>
      </c>
      <c r="C335" s="166" t="s">
        <v>836</v>
      </c>
      <c r="D335" s="174">
        <v>1264</v>
      </c>
      <c r="E335" s="157">
        <f>+'SMT KIT Rcvd '!D334</f>
        <v>7500</v>
      </c>
      <c r="F335" s="157">
        <f>+'Excise Dispatch '!D334</f>
        <v>8764</v>
      </c>
      <c r="G335" s="157">
        <f>+'PACK Prod'!D334</f>
        <v>7500</v>
      </c>
      <c r="H335" s="157">
        <f t="shared" si="34"/>
        <v>0</v>
      </c>
      <c r="I335" s="158">
        <f t="shared" si="35"/>
        <v>0</v>
      </c>
      <c r="J335" s="157">
        <f t="shared" si="36"/>
        <v>0</v>
      </c>
      <c r="K335" s="160">
        <v>7500</v>
      </c>
      <c r="L335" s="159">
        <f t="shared" si="37"/>
        <v>-1264</v>
      </c>
      <c r="M335" s="157">
        <v>1264</v>
      </c>
    </row>
    <row r="336" spans="1:13" s="67" customFormat="1" ht="15.75" customHeight="1" x14ac:dyDescent="0.25">
      <c r="A336" s="48">
        <v>32</v>
      </c>
      <c r="B336" s="166" t="s">
        <v>664</v>
      </c>
      <c r="C336" s="166" t="s">
        <v>665</v>
      </c>
      <c r="D336" s="174">
        <v>400</v>
      </c>
      <c r="E336" s="157">
        <f>+'SMT KIT Rcvd '!D335</f>
        <v>0</v>
      </c>
      <c r="F336" s="157">
        <f>+'Excise Dispatch '!D335</f>
        <v>0</v>
      </c>
      <c r="G336" s="157">
        <f>+'PACK Prod'!D335</f>
        <v>0</v>
      </c>
      <c r="H336" s="157">
        <f t="shared" si="34"/>
        <v>400</v>
      </c>
      <c r="I336" s="158">
        <f t="shared" si="35"/>
        <v>400</v>
      </c>
      <c r="J336" s="157">
        <f t="shared" si="36"/>
        <v>0</v>
      </c>
      <c r="K336" s="160">
        <v>0</v>
      </c>
      <c r="L336" s="159">
        <f t="shared" si="37"/>
        <v>-400</v>
      </c>
      <c r="M336" s="157">
        <v>400</v>
      </c>
    </row>
    <row r="337" spans="1:13" s="153" customFormat="1" ht="14.25" customHeight="1" x14ac:dyDescent="0.2">
      <c r="A337" s="151" t="s">
        <v>140</v>
      </c>
      <c r="B337" s="154" t="s">
        <v>126</v>
      </c>
      <c r="C337" s="162" t="s">
        <v>141</v>
      </c>
      <c r="D337" s="164">
        <f t="shared" ref="D337:M337" si="38">SUM(D338:D495)</f>
        <v>25059</v>
      </c>
      <c r="E337" s="164">
        <f t="shared" si="38"/>
        <v>4455127</v>
      </c>
      <c r="F337" s="164">
        <f t="shared" si="38"/>
        <v>4474586</v>
      </c>
      <c r="G337" s="164">
        <f t="shared" si="38"/>
        <v>4463232</v>
      </c>
      <c r="H337" s="164">
        <f t="shared" si="38"/>
        <v>5600</v>
      </c>
      <c r="I337" s="164">
        <f t="shared" si="38"/>
        <v>5600</v>
      </c>
      <c r="J337" s="164">
        <f t="shared" si="38"/>
        <v>0</v>
      </c>
      <c r="K337" s="164">
        <f t="shared" si="38"/>
        <v>4455127</v>
      </c>
      <c r="L337" s="164">
        <f t="shared" si="38"/>
        <v>-25059</v>
      </c>
      <c r="M337" s="164">
        <f t="shared" si="38"/>
        <v>16954</v>
      </c>
    </row>
    <row r="338" spans="1:13" s="67" customFormat="1" ht="15.75" customHeight="1" x14ac:dyDescent="0.25">
      <c r="A338" s="48">
        <v>1</v>
      </c>
      <c r="B338" s="166" t="s">
        <v>842</v>
      </c>
      <c r="C338" s="166" t="s">
        <v>840</v>
      </c>
      <c r="D338" s="157">
        <v>0</v>
      </c>
      <c r="E338" s="157">
        <f>+'SMT KIT Rcvd '!D337</f>
        <v>4700</v>
      </c>
      <c r="F338" s="157">
        <f>+'Excise Dispatch '!D337</f>
        <v>4700</v>
      </c>
      <c r="G338" s="157">
        <f>+'PACK Prod'!D337</f>
        <v>4700</v>
      </c>
      <c r="H338" s="157">
        <f t="shared" ref="H338:H401" si="39">D338+E338-F338</f>
        <v>0</v>
      </c>
      <c r="I338" s="158">
        <f t="shared" ref="I338:I401" si="40">G338+M338-F338</f>
        <v>0</v>
      </c>
      <c r="J338" s="157">
        <f t="shared" ref="J338:J428" si="41">+H338-I338</f>
        <v>0</v>
      </c>
      <c r="K338" s="160">
        <v>4700</v>
      </c>
      <c r="L338" s="159">
        <f t="shared" ref="L338:L401" si="42">K338-D338-E338</f>
        <v>0</v>
      </c>
      <c r="M338" s="157">
        <v>0</v>
      </c>
    </row>
    <row r="339" spans="1:13" s="67" customFormat="1" ht="15.75" customHeight="1" x14ac:dyDescent="0.25">
      <c r="A339" s="48">
        <v>2</v>
      </c>
      <c r="B339" s="166" t="s">
        <v>843</v>
      </c>
      <c r="C339" s="166" t="s">
        <v>841</v>
      </c>
      <c r="D339" s="157">
        <v>0</v>
      </c>
      <c r="E339" s="157">
        <f>+'SMT KIT Rcvd '!D338</f>
        <v>5800</v>
      </c>
      <c r="F339" s="157">
        <f>+'Excise Dispatch '!D338</f>
        <v>5800</v>
      </c>
      <c r="G339" s="157">
        <f>+'PACK Prod'!D338</f>
        <v>5800</v>
      </c>
      <c r="H339" s="157">
        <f t="shared" si="39"/>
        <v>0</v>
      </c>
      <c r="I339" s="158">
        <f t="shared" si="40"/>
        <v>0</v>
      </c>
      <c r="J339" s="157">
        <f t="shared" si="41"/>
        <v>0</v>
      </c>
      <c r="K339" s="160">
        <v>5800</v>
      </c>
      <c r="L339" s="159">
        <f t="shared" si="42"/>
        <v>0</v>
      </c>
      <c r="M339" s="157">
        <v>0</v>
      </c>
    </row>
    <row r="340" spans="1:13" s="67" customFormat="1" ht="15.75" customHeight="1" x14ac:dyDescent="0.25">
      <c r="A340" s="48">
        <v>3</v>
      </c>
      <c r="B340" s="176" t="s">
        <v>1034</v>
      </c>
      <c r="C340" s="176" t="s">
        <v>1033</v>
      </c>
      <c r="D340" s="157">
        <v>0</v>
      </c>
      <c r="E340" s="157">
        <f>+'SMT KIT Rcvd '!D339</f>
        <v>15300</v>
      </c>
      <c r="F340" s="157">
        <f>+'Excise Dispatch '!D339</f>
        <v>15300</v>
      </c>
      <c r="G340" s="157">
        <f>+'PACK Prod'!D339</f>
        <v>15300</v>
      </c>
      <c r="H340" s="157">
        <f t="shared" si="39"/>
        <v>0</v>
      </c>
      <c r="I340" s="158">
        <f t="shared" si="40"/>
        <v>0</v>
      </c>
      <c r="J340" s="157">
        <f t="shared" si="41"/>
        <v>0</v>
      </c>
      <c r="K340" s="160">
        <v>15300</v>
      </c>
      <c r="L340" s="159">
        <f t="shared" si="42"/>
        <v>0</v>
      </c>
      <c r="M340" s="157">
        <v>0</v>
      </c>
    </row>
    <row r="341" spans="1:13" s="67" customFormat="1" ht="15.75" customHeight="1" x14ac:dyDescent="0.25">
      <c r="A341" s="48">
        <v>4</v>
      </c>
      <c r="B341" s="176" t="s">
        <v>1038</v>
      </c>
      <c r="C341" s="176" t="s">
        <v>1035</v>
      </c>
      <c r="D341" s="157">
        <v>0</v>
      </c>
      <c r="E341" s="157">
        <f>+'SMT KIT Rcvd '!D340</f>
        <v>2850</v>
      </c>
      <c r="F341" s="157">
        <f>+'Excise Dispatch '!D340</f>
        <v>2850</v>
      </c>
      <c r="G341" s="157">
        <f>+'PACK Prod'!D340</f>
        <v>2850</v>
      </c>
      <c r="H341" s="157">
        <f t="shared" si="39"/>
        <v>0</v>
      </c>
      <c r="I341" s="158">
        <f t="shared" si="40"/>
        <v>0</v>
      </c>
      <c r="J341" s="157">
        <f t="shared" si="41"/>
        <v>0</v>
      </c>
      <c r="K341" s="160">
        <v>2850</v>
      </c>
      <c r="L341" s="159">
        <f t="shared" si="42"/>
        <v>0</v>
      </c>
      <c r="M341" s="157">
        <v>0</v>
      </c>
    </row>
    <row r="342" spans="1:13" s="67" customFormat="1" ht="15.75" customHeight="1" x14ac:dyDescent="0.25">
      <c r="A342" s="48">
        <v>5</v>
      </c>
      <c r="B342" s="176" t="s">
        <v>1039</v>
      </c>
      <c r="C342" s="176" t="s">
        <v>1036</v>
      </c>
      <c r="D342" s="157">
        <v>0</v>
      </c>
      <c r="E342" s="157">
        <f>+'SMT KIT Rcvd '!D341</f>
        <v>3050</v>
      </c>
      <c r="F342" s="157">
        <f>+'Excise Dispatch '!D341</f>
        <v>3050</v>
      </c>
      <c r="G342" s="157">
        <f>+'PACK Prod'!D341</f>
        <v>3050</v>
      </c>
      <c r="H342" s="157">
        <f t="shared" si="39"/>
        <v>0</v>
      </c>
      <c r="I342" s="158">
        <f t="shared" si="40"/>
        <v>0</v>
      </c>
      <c r="J342" s="157">
        <f t="shared" si="41"/>
        <v>0</v>
      </c>
      <c r="K342" s="160">
        <v>3050</v>
      </c>
      <c r="L342" s="159">
        <f t="shared" si="42"/>
        <v>0</v>
      </c>
      <c r="M342" s="157">
        <v>0</v>
      </c>
    </row>
    <row r="343" spans="1:13" s="67" customFormat="1" ht="15.75" customHeight="1" x14ac:dyDescent="0.25">
      <c r="A343" s="48">
        <v>6</v>
      </c>
      <c r="B343" s="176" t="s">
        <v>1040</v>
      </c>
      <c r="C343" s="176" t="s">
        <v>1037</v>
      </c>
      <c r="D343" s="157">
        <v>0</v>
      </c>
      <c r="E343" s="157">
        <f>+'SMT KIT Rcvd '!D342</f>
        <v>6000</v>
      </c>
      <c r="F343" s="157">
        <f>+'Excise Dispatch '!D342</f>
        <v>6000</v>
      </c>
      <c r="G343" s="157">
        <f>+'PACK Prod'!D342</f>
        <v>6000</v>
      </c>
      <c r="H343" s="157">
        <f t="shared" si="39"/>
        <v>0</v>
      </c>
      <c r="I343" s="158">
        <f t="shared" si="40"/>
        <v>0</v>
      </c>
      <c r="J343" s="157">
        <f t="shared" si="41"/>
        <v>0</v>
      </c>
      <c r="K343" s="160">
        <v>6000</v>
      </c>
      <c r="L343" s="159">
        <f t="shared" si="42"/>
        <v>0</v>
      </c>
      <c r="M343" s="157">
        <v>0</v>
      </c>
    </row>
    <row r="344" spans="1:13" s="67" customFormat="1" ht="15.75" customHeight="1" x14ac:dyDescent="0.25">
      <c r="A344" s="48">
        <v>7</v>
      </c>
      <c r="B344" s="176" t="s">
        <v>1042</v>
      </c>
      <c r="C344" s="176" t="s">
        <v>1041</v>
      </c>
      <c r="D344" s="157">
        <v>0</v>
      </c>
      <c r="E344" s="157">
        <f>+'SMT KIT Rcvd '!D343</f>
        <v>1000</v>
      </c>
      <c r="F344" s="157">
        <f>+'Excise Dispatch '!D343</f>
        <v>1000</v>
      </c>
      <c r="G344" s="157">
        <f>+'PACK Prod'!D343</f>
        <v>1000</v>
      </c>
      <c r="H344" s="157">
        <f t="shared" si="39"/>
        <v>0</v>
      </c>
      <c r="I344" s="158">
        <f t="shared" si="40"/>
        <v>0</v>
      </c>
      <c r="J344" s="157">
        <f t="shared" si="41"/>
        <v>0</v>
      </c>
      <c r="K344" s="160">
        <v>1000</v>
      </c>
      <c r="L344" s="159">
        <f t="shared" si="42"/>
        <v>0</v>
      </c>
      <c r="M344" s="157">
        <v>0</v>
      </c>
    </row>
    <row r="345" spans="1:13" s="67" customFormat="1" ht="15.75" customHeight="1" x14ac:dyDescent="0.25">
      <c r="A345" s="48">
        <v>8</v>
      </c>
      <c r="B345" s="166" t="s">
        <v>452</v>
      </c>
      <c r="C345" s="166" t="s">
        <v>814</v>
      </c>
      <c r="D345" s="157">
        <v>0</v>
      </c>
      <c r="E345" s="157">
        <f>+'SMT KIT Rcvd '!D344</f>
        <v>60</v>
      </c>
      <c r="F345" s="157">
        <f>+'Excise Dispatch '!D344</f>
        <v>60</v>
      </c>
      <c r="G345" s="157">
        <f>+'PACK Prod'!D344</f>
        <v>60</v>
      </c>
      <c r="H345" s="157">
        <f t="shared" si="39"/>
        <v>0</v>
      </c>
      <c r="I345" s="158">
        <f t="shared" si="40"/>
        <v>0</v>
      </c>
      <c r="J345" s="157">
        <f t="shared" si="41"/>
        <v>0</v>
      </c>
      <c r="K345" s="160">
        <v>60</v>
      </c>
      <c r="L345" s="159">
        <f t="shared" si="42"/>
        <v>0</v>
      </c>
      <c r="M345" s="157">
        <v>0</v>
      </c>
    </row>
    <row r="346" spans="1:13" s="67" customFormat="1" ht="15.75" customHeight="1" x14ac:dyDescent="0.25">
      <c r="A346" s="48">
        <v>9</v>
      </c>
      <c r="B346" s="166" t="s">
        <v>865</v>
      </c>
      <c r="C346" s="166" t="s">
        <v>864</v>
      </c>
      <c r="D346" s="157">
        <v>0</v>
      </c>
      <c r="E346" s="157">
        <f>+'SMT KIT Rcvd '!D345</f>
        <v>9000</v>
      </c>
      <c r="F346" s="157">
        <f>+'Excise Dispatch '!D345</f>
        <v>9000</v>
      </c>
      <c r="G346" s="157">
        <f>+'PACK Prod'!D345</f>
        <v>9000</v>
      </c>
      <c r="H346" s="157">
        <f t="shared" si="39"/>
        <v>0</v>
      </c>
      <c r="I346" s="158">
        <f t="shared" si="40"/>
        <v>0</v>
      </c>
      <c r="J346" s="157">
        <f t="shared" si="41"/>
        <v>0</v>
      </c>
      <c r="K346" s="160">
        <v>9000</v>
      </c>
      <c r="L346" s="159">
        <f t="shared" si="42"/>
        <v>0</v>
      </c>
      <c r="M346" s="157">
        <v>0</v>
      </c>
    </row>
    <row r="347" spans="1:13" s="67" customFormat="1" ht="15.75" customHeight="1" x14ac:dyDescent="0.25">
      <c r="A347" s="48">
        <v>10</v>
      </c>
      <c r="B347" s="176" t="s">
        <v>368</v>
      </c>
      <c r="C347" s="176" t="s">
        <v>874</v>
      </c>
      <c r="D347" s="157">
        <v>0</v>
      </c>
      <c r="E347" s="157">
        <f>+'SMT KIT Rcvd '!D346</f>
        <v>115000</v>
      </c>
      <c r="F347" s="157">
        <f>+'Excise Dispatch '!D346</f>
        <v>115000</v>
      </c>
      <c r="G347" s="157">
        <f>+'PACK Prod'!D346</f>
        <v>115000</v>
      </c>
      <c r="H347" s="157">
        <f t="shared" si="39"/>
        <v>0</v>
      </c>
      <c r="I347" s="158">
        <f t="shared" si="40"/>
        <v>0</v>
      </c>
      <c r="J347" s="157">
        <f t="shared" si="41"/>
        <v>0</v>
      </c>
      <c r="K347" s="160">
        <v>115000</v>
      </c>
      <c r="L347" s="159">
        <f t="shared" si="42"/>
        <v>0</v>
      </c>
      <c r="M347" s="157">
        <v>0</v>
      </c>
    </row>
    <row r="348" spans="1:13" s="67" customFormat="1" ht="15.75" customHeight="1" x14ac:dyDescent="0.25">
      <c r="A348" s="48">
        <v>11</v>
      </c>
      <c r="B348" s="176" t="s">
        <v>876</v>
      </c>
      <c r="C348" s="176" t="s">
        <v>875</v>
      </c>
      <c r="D348" s="157">
        <v>0</v>
      </c>
      <c r="E348" s="157">
        <f>+'SMT KIT Rcvd '!D347</f>
        <v>1600</v>
      </c>
      <c r="F348" s="157">
        <f>+'Excise Dispatch '!D347</f>
        <v>1600</v>
      </c>
      <c r="G348" s="157">
        <f>+'PACK Prod'!D347</f>
        <v>1600</v>
      </c>
      <c r="H348" s="157">
        <f t="shared" si="39"/>
        <v>0</v>
      </c>
      <c r="I348" s="158">
        <f t="shared" si="40"/>
        <v>0</v>
      </c>
      <c r="J348" s="157">
        <f t="shared" si="41"/>
        <v>0</v>
      </c>
      <c r="K348" s="160">
        <v>1600</v>
      </c>
      <c r="L348" s="159">
        <f t="shared" si="42"/>
        <v>0</v>
      </c>
      <c r="M348" s="157">
        <v>0</v>
      </c>
    </row>
    <row r="349" spans="1:13" s="67" customFormat="1" ht="15.75" customHeight="1" x14ac:dyDescent="0.25">
      <c r="A349" s="48">
        <v>12</v>
      </c>
      <c r="B349" s="166" t="s">
        <v>687</v>
      </c>
      <c r="C349" s="166" t="s">
        <v>686</v>
      </c>
      <c r="D349" s="157">
        <v>0</v>
      </c>
      <c r="E349" s="157">
        <f>+'SMT KIT Rcvd '!D348</f>
        <v>131500</v>
      </c>
      <c r="F349" s="157">
        <f>+'Excise Dispatch '!D348</f>
        <v>131500</v>
      </c>
      <c r="G349" s="157">
        <f>+'PACK Prod'!D348</f>
        <v>131500</v>
      </c>
      <c r="H349" s="157">
        <f t="shared" si="39"/>
        <v>0</v>
      </c>
      <c r="I349" s="158">
        <f t="shared" si="40"/>
        <v>0</v>
      </c>
      <c r="J349" s="157">
        <f t="shared" si="41"/>
        <v>0</v>
      </c>
      <c r="K349" s="160">
        <v>131500</v>
      </c>
      <c r="L349" s="159">
        <f t="shared" si="42"/>
        <v>0</v>
      </c>
      <c r="M349" s="157">
        <v>0</v>
      </c>
    </row>
    <row r="350" spans="1:13" s="67" customFormat="1" ht="15.75" customHeight="1" x14ac:dyDescent="0.25">
      <c r="A350" s="48">
        <v>13</v>
      </c>
      <c r="B350" s="176" t="s">
        <v>974</v>
      </c>
      <c r="C350" s="176" t="s">
        <v>973</v>
      </c>
      <c r="D350" s="157">
        <v>22</v>
      </c>
      <c r="E350" s="157">
        <f>+'SMT KIT Rcvd '!D349</f>
        <v>437300</v>
      </c>
      <c r="F350" s="157">
        <f>+'Excise Dispatch '!D349</f>
        <v>437322</v>
      </c>
      <c r="G350" s="157">
        <f>+'PACK Prod'!D349</f>
        <v>437300</v>
      </c>
      <c r="H350" s="157">
        <f t="shared" si="39"/>
        <v>0</v>
      </c>
      <c r="I350" s="158">
        <f t="shared" si="40"/>
        <v>0</v>
      </c>
      <c r="J350" s="157">
        <f t="shared" si="41"/>
        <v>0</v>
      </c>
      <c r="K350" s="160">
        <v>437300</v>
      </c>
      <c r="L350" s="159">
        <f t="shared" si="42"/>
        <v>-22</v>
      </c>
      <c r="M350" s="157">
        <v>22</v>
      </c>
    </row>
    <row r="351" spans="1:13" s="67" customFormat="1" ht="15.75" customHeight="1" x14ac:dyDescent="0.25">
      <c r="A351" s="48">
        <v>14</v>
      </c>
      <c r="B351" s="176" t="s">
        <v>976</v>
      </c>
      <c r="C351" s="176" t="s">
        <v>975</v>
      </c>
      <c r="D351" s="157">
        <v>0</v>
      </c>
      <c r="E351" s="157">
        <f>+'SMT KIT Rcvd '!D350</f>
        <v>7640</v>
      </c>
      <c r="F351" s="157">
        <f>+'Excise Dispatch '!D350</f>
        <v>7640</v>
      </c>
      <c r="G351" s="157">
        <f>+'PACK Prod'!D350</f>
        <v>7640</v>
      </c>
      <c r="H351" s="157">
        <f t="shared" si="39"/>
        <v>0</v>
      </c>
      <c r="I351" s="158">
        <f t="shared" si="40"/>
        <v>0</v>
      </c>
      <c r="J351" s="157">
        <f t="shared" si="41"/>
        <v>0</v>
      </c>
      <c r="K351" s="160">
        <v>7640</v>
      </c>
      <c r="L351" s="159">
        <f t="shared" si="42"/>
        <v>0</v>
      </c>
      <c r="M351" s="157">
        <v>0</v>
      </c>
    </row>
    <row r="352" spans="1:13" s="67" customFormat="1" ht="15.75" customHeight="1" x14ac:dyDescent="0.25">
      <c r="A352" s="48">
        <v>15</v>
      </c>
      <c r="B352" s="166" t="s">
        <v>342</v>
      </c>
      <c r="C352" s="166" t="s">
        <v>423</v>
      </c>
      <c r="D352" s="157">
        <v>0</v>
      </c>
      <c r="E352" s="157">
        <f>+'SMT KIT Rcvd '!D351</f>
        <v>9200</v>
      </c>
      <c r="F352" s="157">
        <f>+'Excise Dispatch '!D351</f>
        <v>9200</v>
      </c>
      <c r="G352" s="157">
        <f>+'PACK Prod'!D351</f>
        <v>9200</v>
      </c>
      <c r="H352" s="157">
        <f t="shared" si="39"/>
        <v>0</v>
      </c>
      <c r="I352" s="158">
        <f t="shared" si="40"/>
        <v>0</v>
      </c>
      <c r="J352" s="157">
        <f t="shared" si="41"/>
        <v>0</v>
      </c>
      <c r="K352" s="160">
        <v>9200</v>
      </c>
      <c r="L352" s="159">
        <f t="shared" si="42"/>
        <v>0</v>
      </c>
      <c r="M352" s="157">
        <v>0</v>
      </c>
    </row>
    <row r="353" spans="1:13" s="67" customFormat="1" ht="15.75" customHeight="1" x14ac:dyDescent="0.25">
      <c r="A353" s="48">
        <v>16</v>
      </c>
      <c r="B353" s="176" t="s">
        <v>970</v>
      </c>
      <c r="C353" s="176" t="s">
        <v>969</v>
      </c>
      <c r="D353" s="157">
        <v>0</v>
      </c>
      <c r="E353" s="157">
        <f>+'SMT KIT Rcvd '!D352</f>
        <v>470</v>
      </c>
      <c r="F353" s="157">
        <f>+'Excise Dispatch '!D352</f>
        <v>470</v>
      </c>
      <c r="G353" s="157">
        <f>+'PACK Prod'!D352</f>
        <v>470</v>
      </c>
      <c r="H353" s="157">
        <f t="shared" si="39"/>
        <v>0</v>
      </c>
      <c r="I353" s="158">
        <f t="shared" si="40"/>
        <v>0</v>
      </c>
      <c r="J353" s="157">
        <f t="shared" si="41"/>
        <v>0</v>
      </c>
      <c r="K353" s="160">
        <v>470</v>
      </c>
      <c r="L353" s="159">
        <f t="shared" si="42"/>
        <v>0</v>
      </c>
      <c r="M353" s="157">
        <v>0</v>
      </c>
    </row>
    <row r="354" spans="1:13" s="67" customFormat="1" ht="15.75" customHeight="1" x14ac:dyDescent="0.25">
      <c r="A354" s="48">
        <v>17</v>
      </c>
      <c r="B354" s="166" t="s">
        <v>495</v>
      </c>
      <c r="C354" s="166" t="s">
        <v>494</v>
      </c>
      <c r="D354" s="157">
        <v>0</v>
      </c>
      <c r="E354" s="157">
        <f>+'SMT KIT Rcvd '!D353</f>
        <v>5100</v>
      </c>
      <c r="F354" s="157">
        <f>+'Excise Dispatch '!D353</f>
        <v>5100</v>
      </c>
      <c r="G354" s="157">
        <f>+'PACK Prod'!D353</f>
        <v>5100</v>
      </c>
      <c r="H354" s="157">
        <f t="shared" si="39"/>
        <v>0</v>
      </c>
      <c r="I354" s="158">
        <f t="shared" si="40"/>
        <v>0</v>
      </c>
      <c r="J354" s="157">
        <f t="shared" si="41"/>
        <v>0</v>
      </c>
      <c r="K354" s="160">
        <v>5100</v>
      </c>
      <c r="L354" s="159">
        <f t="shared" si="42"/>
        <v>0</v>
      </c>
      <c r="M354" s="157">
        <v>0</v>
      </c>
    </row>
    <row r="355" spans="1:13" s="67" customFormat="1" ht="15.75" customHeight="1" x14ac:dyDescent="0.25">
      <c r="A355" s="48">
        <v>18</v>
      </c>
      <c r="B355" s="176" t="s">
        <v>1045</v>
      </c>
      <c r="C355" s="176" t="s">
        <v>1043</v>
      </c>
      <c r="D355" s="157">
        <v>0</v>
      </c>
      <c r="E355" s="157">
        <f>+'SMT KIT Rcvd '!D354</f>
        <v>4400</v>
      </c>
      <c r="F355" s="157">
        <f>+'Excise Dispatch '!D354</f>
        <v>4400</v>
      </c>
      <c r="G355" s="157">
        <f>+'PACK Prod'!D354</f>
        <v>4400</v>
      </c>
      <c r="H355" s="157">
        <f t="shared" si="39"/>
        <v>0</v>
      </c>
      <c r="I355" s="158">
        <f t="shared" si="40"/>
        <v>0</v>
      </c>
      <c r="J355" s="157">
        <f t="shared" si="41"/>
        <v>0</v>
      </c>
      <c r="K355" s="160">
        <v>4400</v>
      </c>
      <c r="L355" s="159">
        <f t="shared" si="42"/>
        <v>0</v>
      </c>
      <c r="M355" s="157">
        <v>0</v>
      </c>
    </row>
    <row r="356" spans="1:13" s="67" customFormat="1" ht="15.75" customHeight="1" x14ac:dyDescent="0.25">
      <c r="A356" s="48">
        <v>19</v>
      </c>
      <c r="B356" s="176" t="s">
        <v>1046</v>
      </c>
      <c r="C356" s="176" t="s">
        <v>1044</v>
      </c>
      <c r="D356" s="157">
        <v>0</v>
      </c>
      <c r="E356" s="157">
        <f>+'SMT KIT Rcvd '!D355</f>
        <v>3460</v>
      </c>
      <c r="F356" s="157">
        <f>+'Excise Dispatch '!D355</f>
        <v>3460</v>
      </c>
      <c r="G356" s="157">
        <f>+'PACK Prod'!D355</f>
        <v>3460</v>
      </c>
      <c r="H356" s="157">
        <f t="shared" si="39"/>
        <v>0</v>
      </c>
      <c r="I356" s="158">
        <f t="shared" si="40"/>
        <v>0</v>
      </c>
      <c r="J356" s="157">
        <f t="shared" si="41"/>
        <v>0</v>
      </c>
      <c r="K356" s="160">
        <v>3460</v>
      </c>
      <c r="L356" s="159">
        <f t="shared" si="42"/>
        <v>0</v>
      </c>
      <c r="M356" s="157">
        <v>0</v>
      </c>
    </row>
    <row r="357" spans="1:13" s="67" customFormat="1" ht="15.75" customHeight="1" x14ac:dyDescent="0.25">
      <c r="A357" s="48">
        <v>20</v>
      </c>
      <c r="B357" s="166" t="s">
        <v>342</v>
      </c>
      <c r="C357" s="166" t="s">
        <v>496</v>
      </c>
      <c r="D357" s="157">
        <v>0</v>
      </c>
      <c r="E357" s="157">
        <f>+'SMT KIT Rcvd '!D356</f>
        <v>12300</v>
      </c>
      <c r="F357" s="157">
        <f>+'Excise Dispatch '!D356</f>
        <v>12300</v>
      </c>
      <c r="G357" s="157">
        <f>+'PACK Prod'!D356</f>
        <v>12300</v>
      </c>
      <c r="H357" s="157">
        <f t="shared" si="39"/>
        <v>0</v>
      </c>
      <c r="I357" s="158">
        <f t="shared" si="40"/>
        <v>0</v>
      </c>
      <c r="J357" s="157">
        <f t="shared" si="41"/>
        <v>0</v>
      </c>
      <c r="K357" s="160">
        <v>12300</v>
      </c>
      <c r="L357" s="159">
        <f t="shared" si="42"/>
        <v>0</v>
      </c>
      <c r="M357" s="157">
        <v>0</v>
      </c>
    </row>
    <row r="358" spans="1:13" s="67" customFormat="1" ht="15.75" customHeight="1" x14ac:dyDescent="0.25">
      <c r="A358" s="48">
        <v>21</v>
      </c>
      <c r="B358" s="166" t="s">
        <v>652</v>
      </c>
      <c r="C358" s="166" t="s">
        <v>651</v>
      </c>
      <c r="D358" s="157">
        <v>0</v>
      </c>
      <c r="E358" s="157">
        <f>+'SMT KIT Rcvd '!D357</f>
        <v>1100</v>
      </c>
      <c r="F358" s="157">
        <f>+'Excise Dispatch '!D357</f>
        <v>1100</v>
      </c>
      <c r="G358" s="157">
        <f>+'PACK Prod'!D357</f>
        <v>1100</v>
      </c>
      <c r="H358" s="157">
        <f t="shared" si="39"/>
        <v>0</v>
      </c>
      <c r="I358" s="158">
        <f t="shared" si="40"/>
        <v>0</v>
      </c>
      <c r="J358" s="157">
        <f t="shared" si="41"/>
        <v>0</v>
      </c>
      <c r="K358" s="160">
        <v>1100</v>
      </c>
      <c r="L358" s="159">
        <f t="shared" si="42"/>
        <v>0</v>
      </c>
      <c r="M358" s="157">
        <v>0</v>
      </c>
    </row>
    <row r="359" spans="1:13" s="67" customFormat="1" ht="15.75" customHeight="1" x14ac:dyDescent="0.25">
      <c r="A359" s="48">
        <v>22</v>
      </c>
      <c r="B359" s="166" t="s">
        <v>407</v>
      </c>
      <c r="C359" s="166" t="s">
        <v>408</v>
      </c>
      <c r="D359" s="157">
        <v>0</v>
      </c>
      <c r="E359" s="157">
        <f>+'SMT KIT Rcvd '!D358</f>
        <v>49000</v>
      </c>
      <c r="F359" s="157">
        <f>+'Excise Dispatch '!D358</f>
        <v>49000</v>
      </c>
      <c r="G359" s="157">
        <f>+'PACK Prod'!D358</f>
        <v>49000</v>
      </c>
      <c r="H359" s="157">
        <f t="shared" si="39"/>
        <v>0</v>
      </c>
      <c r="I359" s="158">
        <f t="shared" si="40"/>
        <v>0</v>
      </c>
      <c r="J359" s="157">
        <f t="shared" si="41"/>
        <v>0</v>
      </c>
      <c r="K359" s="160">
        <v>49000</v>
      </c>
      <c r="L359" s="159">
        <f t="shared" si="42"/>
        <v>0</v>
      </c>
      <c r="M359" s="157">
        <v>0</v>
      </c>
    </row>
    <row r="360" spans="1:13" s="67" customFormat="1" ht="15.75" customHeight="1" x14ac:dyDescent="0.25">
      <c r="A360" s="48">
        <v>23</v>
      </c>
      <c r="B360" s="166" t="s">
        <v>541</v>
      </c>
      <c r="C360" s="166" t="s">
        <v>540</v>
      </c>
      <c r="D360" s="157">
        <v>0</v>
      </c>
      <c r="E360" s="157">
        <f>+'SMT KIT Rcvd '!D359</f>
        <v>800</v>
      </c>
      <c r="F360" s="157">
        <f>+'Excise Dispatch '!D359</f>
        <v>800</v>
      </c>
      <c r="G360" s="157">
        <f>+'PACK Prod'!D359</f>
        <v>800</v>
      </c>
      <c r="H360" s="157">
        <f t="shared" si="39"/>
        <v>0</v>
      </c>
      <c r="I360" s="158">
        <f t="shared" si="40"/>
        <v>0</v>
      </c>
      <c r="J360" s="157">
        <f t="shared" si="41"/>
        <v>0</v>
      </c>
      <c r="K360" s="160">
        <v>800</v>
      </c>
      <c r="L360" s="159">
        <f t="shared" si="42"/>
        <v>0</v>
      </c>
      <c r="M360" s="157">
        <v>0</v>
      </c>
    </row>
    <row r="361" spans="1:13" s="67" customFormat="1" ht="15.75" customHeight="1" x14ac:dyDescent="0.25">
      <c r="A361" s="48">
        <v>24</v>
      </c>
      <c r="B361" s="166" t="s">
        <v>654</v>
      </c>
      <c r="C361" s="166" t="s">
        <v>653</v>
      </c>
      <c r="D361" s="157">
        <v>0</v>
      </c>
      <c r="E361" s="157">
        <f>+'SMT KIT Rcvd '!D360</f>
        <v>190</v>
      </c>
      <c r="F361" s="157">
        <f>+'Excise Dispatch '!D360</f>
        <v>190</v>
      </c>
      <c r="G361" s="157">
        <f>+'PACK Prod'!D360</f>
        <v>190</v>
      </c>
      <c r="H361" s="157">
        <f t="shared" si="39"/>
        <v>0</v>
      </c>
      <c r="I361" s="158">
        <f t="shared" si="40"/>
        <v>0</v>
      </c>
      <c r="J361" s="157">
        <f t="shared" si="41"/>
        <v>0</v>
      </c>
      <c r="K361" s="160">
        <v>190</v>
      </c>
      <c r="L361" s="159">
        <f t="shared" si="42"/>
        <v>0</v>
      </c>
      <c r="M361" s="157">
        <v>0</v>
      </c>
    </row>
    <row r="362" spans="1:13" s="67" customFormat="1" ht="15.75" customHeight="1" x14ac:dyDescent="0.25">
      <c r="A362" s="48">
        <v>25</v>
      </c>
      <c r="B362" s="166" t="s">
        <v>173</v>
      </c>
      <c r="C362" s="166" t="s">
        <v>172</v>
      </c>
      <c r="D362" s="157">
        <v>2084</v>
      </c>
      <c r="E362" s="157">
        <f>+'SMT KIT Rcvd '!D361</f>
        <v>285000</v>
      </c>
      <c r="F362" s="157">
        <f>+'Excise Dispatch '!D361</f>
        <v>287084</v>
      </c>
      <c r="G362" s="157">
        <f>+'PACK Prod'!D361</f>
        <v>284986</v>
      </c>
      <c r="H362" s="157">
        <f t="shared" si="39"/>
        <v>0</v>
      </c>
      <c r="I362" s="158">
        <f t="shared" si="40"/>
        <v>0</v>
      </c>
      <c r="J362" s="157">
        <f t="shared" si="41"/>
        <v>0</v>
      </c>
      <c r="K362" s="160">
        <v>285000</v>
      </c>
      <c r="L362" s="159">
        <f t="shared" si="42"/>
        <v>-2084</v>
      </c>
      <c r="M362" s="157">
        <v>2098</v>
      </c>
    </row>
    <row r="363" spans="1:13" s="67" customFormat="1" ht="15.75" customHeight="1" x14ac:dyDescent="0.25">
      <c r="A363" s="48">
        <v>26</v>
      </c>
      <c r="B363" s="166" t="s">
        <v>349</v>
      </c>
      <c r="C363" s="166" t="s">
        <v>348</v>
      </c>
      <c r="D363" s="157">
        <v>0</v>
      </c>
      <c r="E363" s="157">
        <f>+'SMT KIT Rcvd '!D362</f>
        <v>3000</v>
      </c>
      <c r="F363" s="157">
        <f>+'Excise Dispatch '!D362</f>
        <v>3000</v>
      </c>
      <c r="G363" s="157">
        <f>+'PACK Prod'!D362</f>
        <v>3000</v>
      </c>
      <c r="H363" s="157">
        <f t="shared" si="39"/>
        <v>0</v>
      </c>
      <c r="I363" s="158">
        <f t="shared" si="40"/>
        <v>0</v>
      </c>
      <c r="J363" s="157">
        <f t="shared" si="41"/>
        <v>0</v>
      </c>
      <c r="K363" s="160">
        <v>3000</v>
      </c>
      <c r="L363" s="159">
        <f t="shared" si="42"/>
        <v>0</v>
      </c>
      <c r="M363" s="157">
        <v>0</v>
      </c>
    </row>
    <row r="364" spans="1:13" s="67" customFormat="1" ht="15.75" customHeight="1" x14ac:dyDescent="0.25">
      <c r="A364" s="48">
        <v>27</v>
      </c>
      <c r="B364" s="166" t="s">
        <v>207</v>
      </c>
      <c r="C364" s="166" t="s">
        <v>206</v>
      </c>
      <c r="D364" s="157">
        <v>127</v>
      </c>
      <c r="E364" s="157">
        <f>+'SMT KIT Rcvd '!D363</f>
        <v>688000</v>
      </c>
      <c r="F364" s="157">
        <f>+'Excise Dispatch '!D363</f>
        <v>688127</v>
      </c>
      <c r="G364" s="157">
        <f>+'PACK Prod'!D363</f>
        <v>688127</v>
      </c>
      <c r="H364" s="157">
        <f t="shared" si="39"/>
        <v>0</v>
      </c>
      <c r="I364" s="158">
        <f t="shared" si="40"/>
        <v>0</v>
      </c>
      <c r="J364" s="157">
        <f t="shared" si="41"/>
        <v>0</v>
      </c>
      <c r="K364" s="160">
        <v>688000</v>
      </c>
      <c r="L364" s="159">
        <f t="shared" si="42"/>
        <v>-127</v>
      </c>
      <c r="M364" s="157">
        <v>0</v>
      </c>
    </row>
    <row r="365" spans="1:13" s="67" customFormat="1" ht="15.75" customHeight="1" x14ac:dyDescent="0.25">
      <c r="A365" s="48">
        <v>28</v>
      </c>
      <c r="B365" s="176" t="s">
        <v>343</v>
      </c>
      <c r="C365" s="176" t="s">
        <v>1167</v>
      </c>
      <c r="D365" s="157">
        <v>0</v>
      </c>
      <c r="E365" s="157">
        <f>+'SMT KIT Rcvd '!D364</f>
        <v>49000</v>
      </c>
      <c r="F365" s="157">
        <f>+'Excise Dispatch '!D364</f>
        <v>49000</v>
      </c>
      <c r="G365" s="157">
        <f>+'PACK Prod'!D364</f>
        <v>49000</v>
      </c>
      <c r="H365" s="157">
        <f t="shared" si="39"/>
        <v>0</v>
      </c>
      <c r="I365" s="158">
        <f t="shared" si="40"/>
        <v>0</v>
      </c>
      <c r="J365" s="157">
        <f t="shared" si="41"/>
        <v>0</v>
      </c>
      <c r="K365" s="160">
        <v>49000</v>
      </c>
      <c r="L365" s="159">
        <f t="shared" si="42"/>
        <v>0</v>
      </c>
      <c r="M365" s="157">
        <v>0</v>
      </c>
    </row>
    <row r="366" spans="1:13" s="67" customFormat="1" ht="15.75" customHeight="1" x14ac:dyDescent="0.25">
      <c r="A366" s="48">
        <v>29</v>
      </c>
      <c r="B366" s="166" t="s">
        <v>569</v>
      </c>
      <c r="C366" s="166" t="s">
        <v>568</v>
      </c>
      <c r="D366" s="157">
        <v>0</v>
      </c>
      <c r="E366" s="157">
        <f>+'SMT KIT Rcvd '!D365</f>
        <v>134</v>
      </c>
      <c r="F366" s="157">
        <f>+'Excise Dispatch '!D365</f>
        <v>134</v>
      </c>
      <c r="G366" s="157">
        <f>+'PACK Prod'!D365</f>
        <v>134</v>
      </c>
      <c r="H366" s="157">
        <f t="shared" si="39"/>
        <v>0</v>
      </c>
      <c r="I366" s="158">
        <f t="shared" si="40"/>
        <v>0</v>
      </c>
      <c r="J366" s="157">
        <f t="shared" si="41"/>
        <v>0</v>
      </c>
      <c r="K366" s="160">
        <v>134</v>
      </c>
      <c r="L366" s="159">
        <f t="shared" si="42"/>
        <v>0</v>
      </c>
      <c r="M366" s="157">
        <v>0</v>
      </c>
    </row>
    <row r="367" spans="1:13" s="67" customFormat="1" ht="15.75" customHeight="1" x14ac:dyDescent="0.25">
      <c r="A367" s="48">
        <v>30</v>
      </c>
      <c r="B367" s="166" t="s">
        <v>433</v>
      </c>
      <c r="C367" s="166" t="s">
        <v>432</v>
      </c>
      <c r="D367" s="157">
        <v>0</v>
      </c>
      <c r="E367" s="157">
        <f>+'SMT KIT Rcvd '!D366</f>
        <v>1500</v>
      </c>
      <c r="F367" s="157">
        <f>+'Excise Dispatch '!D366</f>
        <v>1500</v>
      </c>
      <c r="G367" s="157">
        <f>+'PACK Prod'!D366</f>
        <v>1500</v>
      </c>
      <c r="H367" s="157">
        <f t="shared" si="39"/>
        <v>0</v>
      </c>
      <c r="I367" s="158">
        <f t="shared" si="40"/>
        <v>0</v>
      </c>
      <c r="J367" s="157">
        <f t="shared" si="41"/>
        <v>0</v>
      </c>
      <c r="K367" s="160">
        <v>1500</v>
      </c>
      <c r="L367" s="159">
        <f t="shared" si="42"/>
        <v>0</v>
      </c>
      <c r="M367" s="157">
        <v>0</v>
      </c>
    </row>
    <row r="368" spans="1:13" s="67" customFormat="1" ht="15.75" customHeight="1" x14ac:dyDescent="0.25">
      <c r="A368" s="48">
        <v>31</v>
      </c>
      <c r="B368" s="176" t="s">
        <v>1218</v>
      </c>
      <c r="C368" s="176" t="s">
        <v>1217</v>
      </c>
      <c r="D368" s="157">
        <v>0</v>
      </c>
      <c r="E368" s="157">
        <f>+'SMT KIT Rcvd '!D367</f>
        <v>300</v>
      </c>
      <c r="F368" s="157">
        <f>+'Excise Dispatch '!D367</f>
        <v>300</v>
      </c>
      <c r="G368" s="157">
        <f>+'PACK Prod'!D367</f>
        <v>300</v>
      </c>
      <c r="H368" s="157">
        <f t="shared" si="39"/>
        <v>0</v>
      </c>
      <c r="I368" s="158">
        <f t="shared" si="40"/>
        <v>0</v>
      </c>
      <c r="J368" s="157">
        <f t="shared" si="41"/>
        <v>0</v>
      </c>
      <c r="K368" s="160">
        <v>300</v>
      </c>
      <c r="L368" s="159">
        <f t="shared" si="42"/>
        <v>0</v>
      </c>
      <c r="M368" s="157">
        <v>0</v>
      </c>
    </row>
    <row r="369" spans="1:13" s="67" customFormat="1" ht="15.75" customHeight="1" x14ac:dyDescent="0.25">
      <c r="A369" s="48">
        <v>32</v>
      </c>
      <c r="B369" s="166" t="s">
        <v>584</v>
      </c>
      <c r="C369" s="166" t="s">
        <v>583</v>
      </c>
      <c r="D369" s="157">
        <v>0</v>
      </c>
      <c r="E369" s="157">
        <f>+'SMT KIT Rcvd '!D368</f>
        <v>22800</v>
      </c>
      <c r="F369" s="157">
        <f>+'Excise Dispatch '!D368</f>
        <v>22800</v>
      </c>
      <c r="G369" s="157">
        <f>+'PACK Prod'!D368</f>
        <v>22800</v>
      </c>
      <c r="H369" s="157">
        <f t="shared" si="39"/>
        <v>0</v>
      </c>
      <c r="I369" s="158">
        <f t="shared" si="40"/>
        <v>0</v>
      </c>
      <c r="J369" s="157">
        <f t="shared" si="41"/>
        <v>0</v>
      </c>
      <c r="K369" s="160">
        <v>22800</v>
      </c>
      <c r="L369" s="159">
        <f t="shared" si="42"/>
        <v>0</v>
      </c>
      <c r="M369" s="157">
        <v>0</v>
      </c>
    </row>
    <row r="370" spans="1:13" s="67" customFormat="1" ht="15.75" customHeight="1" x14ac:dyDescent="0.25">
      <c r="A370" s="48">
        <v>33</v>
      </c>
      <c r="B370" s="166" t="s">
        <v>350</v>
      </c>
      <c r="C370" s="166" t="s">
        <v>351</v>
      </c>
      <c r="D370" s="157">
        <v>0</v>
      </c>
      <c r="E370" s="157">
        <f>+'SMT KIT Rcvd '!D369</f>
        <v>11300</v>
      </c>
      <c r="F370" s="157">
        <f>+'Excise Dispatch '!D369</f>
        <v>11300</v>
      </c>
      <c r="G370" s="157">
        <f>+'PACK Prod'!D369</f>
        <v>11300</v>
      </c>
      <c r="H370" s="157">
        <f t="shared" si="39"/>
        <v>0</v>
      </c>
      <c r="I370" s="158">
        <f t="shared" si="40"/>
        <v>0</v>
      </c>
      <c r="J370" s="157">
        <f t="shared" si="41"/>
        <v>0</v>
      </c>
      <c r="K370" s="160">
        <v>11300</v>
      </c>
      <c r="L370" s="159">
        <f t="shared" si="42"/>
        <v>0</v>
      </c>
      <c r="M370" s="157">
        <v>0</v>
      </c>
    </row>
    <row r="371" spans="1:13" s="67" customFormat="1" ht="15.75" customHeight="1" x14ac:dyDescent="0.25">
      <c r="A371" s="48">
        <v>34</v>
      </c>
      <c r="B371" s="166" t="s">
        <v>473</v>
      </c>
      <c r="C371" s="166" t="s">
        <v>472</v>
      </c>
      <c r="D371" s="157">
        <v>0</v>
      </c>
      <c r="E371" s="157">
        <f>+'SMT KIT Rcvd '!D370</f>
        <v>1940</v>
      </c>
      <c r="F371" s="157">
        <f>+'Excise Dispatch '!D370</f>
        <v>1940</v>
      </c>
      <c r="G371" s="157">
        <f>+'PACK Prod'!D370</f>
        <v>1940</v>
      </c>
      <c r="H371" s="157">
        <f t="shared" si="39"/>
        <v>0</v>
      </c>
      <c r="I371" s="158">
        <f t="shared" si="40"/>
        <v>0</v>
      </c>
      <c r="J371" s="157">
        <f t="shared" si="41"/>
        <v>0</v>
      </c>
      <c r="K371" s="160">
        <v>1940</v>
      </c>
      <c r="L371" s="159">
        <f t="shared" si="42"/>
        <v>0</v>
      </c>
      <c r="M371" s="157">
        <v>0</v>
      </c>
    </row>
    <row r="372" spans="1:13" s="67" customFormat="1" ht="15.75" customHeight="1" x14ac:dyDescent="0.25">
      <c r="A372" s="48">
        <v>35</v>
      </c>
      <c r="B372" s="176" t="s">
        <v>1159</v>
      </c>
      <c r="C372" s="176" t="s">
        <v>1157</v>
      </c>
      <c r="D372" s="157">
        <v>0</v>
      </c>
      <c r="E372" s="157">
        <f>+'SMT KIT Rcvd '!D371</f>
        <v>10000</v>
      </c>
      <c r="F372" s="157">
        <f>+'Excise Dispatch '!D371</f>
        <v>10000</v>
      </c>
      <c r="G372" s="157">
        <f>+'PACK Prod'!D371</f>
        <v>10000</v>
      </c>
      <c r="H372" s="157">
        <f t="shared" si="39"/>
        <v>0</v>
      </c>
      <c r="I372" s="158">
        <f t="shared" si="40"/>
        <v>0</v>
      </c>
      <c r="J372" s="157">
        <f t="shared" si="41"/>
        <v>0</v>
      </c>
      <c r="K372" s="160">
        <v>10000</v>
      </c>
      <c r="L372" s="159">
        <f t="shared" si="42"/>
        <v>0</v>
      </c>
      <c r="M372" s="157">
        <v>0</v>
      </c>
    </row>
    <row r="373" spans="1:13" s="67" customFormat="1" ht="15.75" customHeight="1" x14ac:dyDescent="0.25">
      <c r="A373" s="48">
        <v>36</v>
      </c>
      <c r="B373" s="176" t="s">
        <v>1160</v>
      </c>
      <c r="C373" s="176" t="s">
        <v>1158</v>
      </c>
      <c r="D373" s="157">
        <v>0</v>
      </c>
      <c r="E373" s="157">
        <f>+'SMT KIT Rcvd '!D372</f>
        <v>10000</v>
      </c>
      <c r="F373" s="157">
        <f>+'Excise Dispatch '!D372</f>
        <v>10000</v>
      </c>
      <c r="G373" s="157">
        <f>+'PACK Prod'!D372</f>
        <v>10000</v>
      </c>
      <c r="H373" s="157">
        <f t="shared" si="39"/>
        <v>0</v>
      </c>
      <c r="I373" s="158">
        <f t="shared" si="40"/>
        <v>0</v>
      </c>
      <c r="J373" s="157">
        <f t="shared" si="41"/>
        <v>0</v>
      </c>
      <c r="K373" s="160">
        <v>10000</v>
      </c>
      <c r="L373" s="159">
        <f t="shared" si="42"/>
        <v>0</v>
      </c>
      <c r="M373" s="157">
        <v>0</v>
      </c>
    </row>
    <row r="374" spans="1:13" s="67" customFormat="1" ht="15.75" customHeight="1" x14ac:dyDescent="0.25">
      <c r="A374" s="48">
        <v>37</v>
      </c>
      <c r="B374" s="176" t="s">
        <v>1162</v>
      </c>
      <c r="C374" s="176" t="s">
        <v>1161</v>
      </c>
      <c r="D374" s="157">
        <v>0</v>
      </c>
      <c r="E374" s="157">
        <f>+'SMT KIT Rcvd '!D373</f>
        <v>6000</v>
      </c>
      <c r="F374" s="157">
        <f>+'Excise Dispatch '!D373</f>
        <v>6000</v>
      </c>
      <c r="G374" s="157">
        <f>+'PACK Prod'!D373</f>
        <v>6000</v>
      </c>
      <c r="H374" s="157">
        <f t="shared" si="39"/>
        <v>0</v>
      </c>
      <c r="I374" s="158">
        <f t="shared" si="40"/>
        <v>0</v>
      </c>
      <c r="J374" s="157">
        <f t="shared" si="41"/>
        <v>0</v>
      </c>
      <c r="K374" s="160">
        <v>6000</v>
      </c>
      <c r="L374" s="159">
        <f t="shared" si="42"/>
        <v>0</v>
      </c>
      <c r="M374" s="157">
        <v>0</v>
      </c>
    </row>
    <row r="375" spans="1:13" s="67" customFormat="1" ht="15.75" customHeight="1" x14ac:dyDescent="0.25">
      <c r="A375" s="48">
        <v>38</v>
      </c>
      <c r="B375" s="176" t="s">
        <v>1189</v>
      </c>
      <c r="C375" s="176" t="s">
        <v>1185</v>
      </c>
      <c r="D375" s="157">
        <v>0</v>
      </c>
      <c r="E375" s="157">
        <f>+'SMT KIT Rcvd '!D374</f>
        <v>1000</v>
      </c>
      <c r="F375" s="157">
        <f>+'Excise Dispatch '!D374</f>
        <v>1000</v>
      </c>
      <c r="G375" s="157">
        <f>+'PACK Prod'!D374</f>
        <v>1000</v>
      </c>
      <c r="H375" s="157">
        <f t="shared" si="39"/>
        <v>0</v>
      </c>
      <c r="I375" s="158">
        <f t="shared" si="40"/>
        <v>0</v>
      </c>
      <c r="J375" s="157">
        <f t="shared" si="41"/>
        <v>0</v>
      </c>
      <c r="K375" s="160">
        <v>1000</v>
      </c>
      <c r="L375" s="159">
        <f t="shared" si="42"/>
        <v>0</v>
      </c>
      <c r="M375" s="157">
        <v>0</v>
      </c>
    </row>
    <row r="376" spans="1:13" s="67" customFormat="1" ht="15.75" customHeight="1" x14ac:dyDescent="0.25">
      <c r="A376" s="48">
        <v>39</v>
      </c>
      <c r="B376" s="176" t="s">
        <v>1190</v>
      </c>
      <c r="C376" s="176" t="s">
        <v>1186</v>
      </c>
      <c r="D376" s="157">
        <v>0</v>
      </c>
      <c r="E376" s="157">
        <f>+'SMT KIT Rcvd '!D375</f>
        <v>1000</v>
      </c>
      <c r="F376" s="157">
        <f>+'Excise Dispatch '!D375</f>
        <v>1000</v>
      </c>
      <c r="G376" s="157">
        <f>+'PACK Prod'!D375</f>
        <v>1000</v>
      </c>
      <c r="H376" s="157">
        <f t="shared" si="39"/>
        <v>0</v>
      </c>
      <c r="I376" s="158">
        <f t="shared" si="40"/>
        <v>0</v>
      </c>
      <c r="J376" s="157">
        <f t="shared" si="41"/>
        <v>0</v>
      </c>
      <c r="K376" s="160">
        <v>1000</v>
      </c>
      <c r="L376" s="159">
        <f t="shared" si="42"/>
        <v>0</v>
      </c>
      <c r="M376" s="157">
        <v>0</v>
      </c>
    </row>
    <row r="377" spans="1:13" s="67" customFormat="1" ht="15.75" customHeight="1" x14ac:dyDescent="0.25">
      <c r="A377" s="48">
        <v>40</v>
      </c>
      <c r="B377" s="176" t="s">
        <v>1191</v>
      </c>
      <c r="C377" s="176" t="s">
        <v>1187</v>
      </c>
      <c r="D377" s="157">
        <v>0</v>
      </c>
      <c r="E377" s="157">
        <f>+'SMT KIT Rcvd '!D376</f>
        <v>1000</v>
      </c>
      <c r="F377" s="157">
        <f>+'Excise Dispatch '!D376</f>
        <v>1000</v>
      </c>
      <c r="G377" s="157">
        <f>+'PACK Prod'!D376</f>
        <v>1000</v>
      </c>
      <c r="H377" s="157">
        <f t="shared" si="39"/>
        <v>0</v>
      </c>
      <c r="I377" s="158">
        <f t="shared" si="40"/>
        <v>0</v>
      </c>
      <c r="J377" s="157">
        <f t="shared" si="41"/>
        <v>0</v>
      </c>
      <c r="K377" s="160">
        <v>1000</v>
      </c>
      <c r="L377" s="159">
        <f t="shared" si="42"/>
        <v>0</v>
      </c>
      <c r="M377" s="157">
        <v>0</v>
      </c>
    </row>
    <row r="378" spans="1:13" s="67" customFormat="1" ht="15.75" customHeight="1" x14ac:dyDescent="0.25">
      <c r="A378" s="48">
        <v>41</v>
      </c>
      <c r="B378" s="176" t="s">
        <v>1192</v>
      </c>
      <c r="C378" s="176" t="s">
        <v>1188</v>
      </c>
      <c r="D378" s="157">
        <v>0</v>
      </c>
      <c r="E378" s="157">
        <f>+'SMT KIT Rcvd '!D377</f>
        <v>17000</v>
      </c>
      <c r="F378" s="157">
        <f>+'Excise Dispatch '!D377</f>
        <v>17000</v>
      </c>
      <c r="G378" s="157">
        <f>+'PACK Prod'!D377</f>
        <v>17000</v>
      </c>
      <c r="H378" s="157">
        <f t="shared" si="39"/>
        <v>0</v>
      </c>
      <c r="I378" s="158">
        <f t="shared" si="40"/>
        <v>0</v>
      </c>
      <c r="J378" s="157">
        <f t="shared" si="41"/>
        <v>0</v>
      </c>
      <c r="K378" s="160">
        <v>17000</v>
      </c>
      <c r="L378" s="159">
        <f t="shared" si="42"/>
        <v>0</v>
      </c>
      <c r="M378" s="157">
        <v>0</v>
      </c>
    </row>
    <row r="379" spans="1:13" s="67" customFormat="1" ht="15.75" customHeight="1" x14ac:dyDescent="0.25">
      <c r="A379" s="48">
        <v>42</v>
      </c>
      <c r="B379" s="166" t="s">
        <v>516</v>
      </c>
      <c r="C379" s="166" t="s">
        <v>515</v>
      </c>
      <c r="D379" s="157">
        <v>0</v>
      </c>
      <c r="E379" s="157">
        <f>+'SMT KIT Rcvd '!D378</f>
        <v>8860</v>
      </c>
      <c r="F379" s="157">
        <f>+'Excise Dispatch '!D378</f>
        <v>8860</v>
      </c>
      <c r="G379" s="157">
        <f>+'PACK Prod'!D378</f>
        <v>8860</v>
      </c>
      <c r="H379" s="157">
        <f t="shared" si="39"/>
        <v>0</v>
      </c>
      <c r="I379" s="158">
        <f t="shared" si="40"/>
        <v>0</v>
      </c>
      <c r="J379" s="157">
        <f t="shared" si="41"/>
        <v>0</v>
      </c>
      <c r="K379" s="160">
        <v>8860</v>
      </c>
      <c r="L379" s="159">
        <f t="shared" si="42"/>
        <v>0</v>
      </c>
      <c r="M379" s="157">
        <v>0</v>
      </c>
    </row>
    <row r="380" spans="1:13" s="67" customFormat="1" ht="15.75" customHeight="1" x14ac:dyDescent="0.25">
      <c r="A380" s="48">
        <v>43</v>
      </c>
      <c r="B380" s="166" t="s">
        <v>518</v>
      </c>
      <c r="C380" s="166" t="s">
        <v>517</v>
      </c>
      <c r="D380" s="157">
        <v>0</v>
      </c>
      <c r="E380" s="157">
        <f>+'SMT KIT Rcvd '!D379</f>
        <v>2800</v>
      </c>
      <c r="F380" s="157">
        <f>+'Excise Dispatch '!D379</f>
        <v>2800</v>
      </c>
      <c r="G380" s="157">
        <f>+'PACK Prod'!D379</f>
        <v>2800</v>
      </c>
      <c r="H380" s="157">
        <f t="shared" si="39"/>
        <v>0</v>
      </c>
      <c r="I380" s="158">
        <f t="shared" si="40"/>
        <v>0</v>
      </c>
      <c r="J380" s="157">
        <f t="shared" si="41"/>
        <v>0</v>
      </c>
      <c r="K380" s="160">
        <v>2800</v>
      </c>
      <c r="L380" s="159">
        <f t="shared" si="42"/>
        <v>0</v>
      </c>
      <c r="M380" s="157">
        <v>0</v>
      </c>
    </row>
    <row r="381" spans="1:13" s="67" customFormat="1" ht="15.75" customHeight="1" x14ac:dyDescent="0.25">
      <c r="A381" s="48">
        <v>44</v>
      </c>
      <c r="B381" s="176" t="s">
        <v>1224</v>
      </c>
      <c r="C381" s="176" t="s">
        <v>1223</v>
      </c>
      <c r="D381" s="157">
        <v>0</v>
      </c>
      <c r="E381" s="157">
        <f>+'SMT KIT Rcvd '!D380</f>
        <v>600</v>
      </c>
      <c r="F381" s="157">
        <f>+'Excise Dispatch '!D380</f>
        <v>600</v>
      </c>
      <c r="G381" s="157">
        <f>+'PACK Prod'!D380</f>
        <v>600</v>
      </c>
      <c r="H381" s="157">
        <f t="shared" si="39"/>
        <v>0</v>
      </c>
      <c r="I381" s="158">
        <f t="shared" si="40"/>
        <v>0</v>
      </c>
      <c r="J381" s="157">
        <f t="shared" si="41"/>
        <v>0</v>
      </c>
      <c r="K381" s="160">
        <v>600</v>
      </c>
      <c r="L381" s="159">
        <f t="shared" si="42"/>
        <v>0</v>
      </c>
      <c r="M381" s="157">
        <v>0</v>
      </c>
    </row>
    <row r="382" spans="1:13" s="67" customFormat="1" ht="15.75" customHeight="1" x14ac:dyDescent="0.25">
      <c r="A382" s="48">
        <v>45</v>
      </c>
      <c r="B382" s="166" t="s">
        <v>520</v>
      </c>
      <c r="C382" s="166" t="s">
        <v>519</v>
      </c>
      <c r="D382" s="157">
        <v>0</v>
      </c>
      <c r="E382" s="157">
        <f>+'SMT KIT Rcvd '!D381</f>
        <v>0</v>
      </c>
      <c r="F382" s="157">
        <f>+'Excise Dispatch '!D381</f>
        <v>0</v>
      </c>
      <c r="G382" s="157">
        <f>+'PACK Prod'!D381</f>
        <v>0</v>
      </c>
      <c r="H382" s="157">
        <f t="shared" si="39"/>
        <v>0</v>
      </c>
      <c r="I382" s="158">
        <f t="shared" si="40"/>
        <v>0</v>
      </c>
      <c r="J382" s="157">
        <f t="shared" si="41"/>
        <v>0</v>
      </c>
      <c r="K382" s="160">
        <v>0</v>
      </c>
      <c r="L382" s="159">
        <f t="shared" si="42"/>
        <v>0</v>
      </c>
      <c r="M382" s="157">
        <v>0</v>
      </c>
    </row>
    <row r="383" spans="1:13" s="67" customFormat="1" ht="15.75" customHeight="1" x14ac:dyDescent="0.25">
      <c r="A383" s="48">
        <v>46</v>
      </c>
      <c r="B383" s="166" t="s">
        <v>748</v>
      </c>
      <c r="C383" s="166" t="s">
        <v>747</v>
      </c>
      <c r="D383" s="157">
        <v>0</v>
      </c>
      <c r="E383" s="157">
        <f>+'SMT KIT Rcvd '!D382</f>
        <v>0</v>
      </c>
      <c r="F383" s="157">
        <f>+'Excise Dispatch '!D382</f>
        <v>0</v>
      </c>
      <c r="G383" s="157">
        <f>+'PACK Prod'!D382</f>
        <v>0</v>
      </c>
      <c r="H383" s="157">
        <f t="shared" si="39"/>
        <v>0</v>
      </c>
      <c r="I383" s="158">
        <f t="shared" si="40"/>
        <v>0</v>
      </c>
      <c r="J383" s="157">
        <f t="shared" si="41"/>
        <v>0</v>
      </c>
      <c r="K383" s="160">
        <v>0</v>
      </c>
      <c r="L383" s="159">
        <f t="shared" si="42"/>
        <v>0</v>
      </c>
      <c r="M383" s="157">
        <v>0</v>
      </c>
    </row>
    <row r="384" spans="1:13" s="67" customFormat="1" ht="15.75" customHeight="1" x14ac:dyDescent="0.25">
      <c r="A384" s="48">
        <v>47</v>
      </c>
      <c r="B384" s="166" t="s">
        <v>340</v>
      </c>
      <c r="C384" s="166" t="s">
        <v>339</v>
      </c>
      <c r="D384" s="157">
        <v>0</v>
      </c>
      <c r="E384" s="157">
        <f>+'SMT KIT Rcvd '!D383</f>
        <v>200000</v>
      </c>
      <c r="F384" s="157">
        <f>+'Excise Dispatch '!D383</f>
        <v>200000</v>
      </c>
      <c r="G384" s="157">
        <f>+'PACK Prod'!D383</f>
        <v>200000</v>
      </c>
      <c r="H384" s="157">
        <f t="shared" si="39"/>
        <v>0</v>
      </c>
      <c r="I384" s="158">
        <f t="shared" si="40"/>
        <v>0</v>
      </c>
      <c r="J384" s="157">
        <f t="shared" si="41"/>
        <v>0</v>
      </c>
      <c r="K384" s="160">
        <v>200000</v>
      </c>
      <c r="L384" s="159">
        <f t="shared" si="42"/>
        <v>0</v>
      </c>
      <c r="M384" s="157">
        <v>0</v>
      </c>
    </row>
    <row r="385" spans="1:13" s="67" customFormat="1" ht="15.75" customHeight="1" x14ac:dyDescent="0.25">
      <c r="A385" s="48">
        <v>48</v>
      </c>
      <c r="B385" s="166" t="s">
        <v>696</v>
      </c>
      <c r="C385" s="166" t="s">
        <v>695</v>
      </c>
      <c r="D385" s="157">
        <v>5000</v>
      </c>
      <c r="E385" s="157">
        <f>+'SMT KIT Rcvd '!D384</f>
        <v>0</v>
      </c>
      <c r="F385" s="157">
        <f>+'Excise Dispatch '!D384</f>
        <v>0</v>
      </c>
      <c r="G385" s="157">
        <f>+'PACK Prod'!D384</f>
        <v>0</v>
      </c>
      <c r="H385" s="157">
        <f t="shared" si="39"/>
        <v>5000</v>
      </c>
      <c r="I385" s="158">
        <f t="shared" si="40"/>
        <v>5000</v>
      </c>
      <c r="J385" s="157">
        <f t="shared" si="41"/>
        <v>0</v>
      </c>
      <c r="K385" s="160">
        <v>0</v>
      </c>
      <c r="L385" s="159">
        <f t="shared" si="42"/>
        <v>-5000</v>
      </c>
      <c r="M385" s="157">
        <v>5000</v>
      </c>
    </row>
    <row r="386" spans="1:13" s="67" customFormat="1" ht="15.75" customHeight="1" x14ac:dyDescent="0.25">
      <c r="A386" s="48">
        <v>49</v>
      </c>
      <c r="B386" s="176" t="s">
        <v>1020</v>
      </c>
      <c r="C386" s="176" t="s">
        <v>1019</v>
      </c>
      <c r="D386" s="157">
        <v>1</v>
      </c>
      <c r="E386" s="157">
        <f>+'SMT KIT Rcvd '!D385</f>
        <v>9460</v>
      </c>
      <c r="F386" s="157">
        <f>+'Excise Dispatch '!D385</f>
        <v>9461</v>
      </c>
      <c r="G386" s="157">
        <f>+'PACK Prod'!D385</f>
        <v>9460</v>
      </c>
      <c r="H386" s="157">
        <f t="shared" si="39"/>
        <v>0</v>
      </c>
      <c r="I386" s="158">
        <f t="shared" si="40"/>
        <v>0</v>
      </c>
      <c r="J386" s="157">
        <f t="shared" si="41"/>
        <v>0</v>
      </c>
      <c r="K386" s="160">
        <v>9460</v>
      </c>
      <c r="L386" s="159">
        <f t="shared" si="42"/>
        <v>-1</v>
      </c>
      <c r="M386" s="157">
        <v>1</v>
      </c>
    </row>
    <row r="387" spans="1:13" s="67" customFormat="1" ht="15.75" customHeight="1" x14ac:dyDescent="0.25">
      <c r="A387" s="48">
        <v>50</v>
      </c>
      <c r="B387" s="176" t="s">
        <v>1022</v>
      </c>
      <c r="C387" s="176" t="s">
        <v>1021</v>
      </c>
      <c r="D387" s="157">
        <v>0</v>
      </c>
      <c r="E387" s="157">
        <f>+'SMT KIT Rcvd '!D386</f>
        <v>1410</v>
      </c>
      <c r="F387" s="157">
        <f>+'Excise Dispatch '!D386</f>
        <v>1410</v>
      </c>
      <c r="G387" s="157">
        <f>+'PACK Prod'!D386</f>
        <v>1410</v>
      </c>
      <c r="H387" s="157">
        <f t="shared" si="39"/>
        <v>0</v>
      </c>
      <c r="I387" s="158">
        <f t="shared" si="40"/>
        <v>0</v>
      </c>
      <c r="J387" s="157">
        <f t="shared" si="41"/>
        <v>0</v>
      </c>
      <c r="K387" s="160">
        <v>1410</v>
      </c>
      <c r="L387" s="159">
        <f t="shared" si="42"/>
        <v>0</v>
      </c>
      <c r="M387" s="157">
        <v>0</v>
      </c>
    </row>
    <row r="388" spans="1:13" s="67" customFormat="1" ht="15.75" customHeight="1" x14ac:dyDescent="0.25">
      <c r="A388" s="48">
        <v>51</v>
      </c>
      <c r="B388" s="166" t="s">
        <v>699</v>
      </c>
      <c r="C388" s="166" t="s">
        <v>697</v>
      </c>
      <c r="D388" s="157">
        <v>6663</v>
      </c>
      <c r="E388" s="157">
        <f>+'SMT KIT Rcvd '!D387</f>
        <v>0</v>
      </c>
      <c r="F388" s="157">
        <f>+'Excise Dispatch '!D387</f>
        <v>6663</v>
      </c>
      <c r="G388" s="157">
        <f>+'PACK Prod'!D387</f>
        <v>0</v>
      </c>
      <c r="H388" s="157">
        <f t="shared" si="39"/>
        <v>0</v>
      </c>
      <c r="I388" s="158">
        <f t="shared" si="40"/>
        <v>0</v>
      </c>
      <c r="J388" s="157">
        <f t="shared" si="41"/>
        <v>0</v>
      </c>
      <c r="K388" s="160">
        <v>0</v>
      </c>
      <c r="L388" s="159">
        <f t="shared" si="42"/>
        <v>-6663</v>
      </c>
      <c r="M388" s="157">
        <v>6663</v>
      </c>
    </row>
    <row r="389" spans="1:13" s="67" customFormat="1" ht="15.75" customHeight="1" x14ac:dyDescent="0.25">
      <c r="A389" s="48">
        <v>52</v>
      </c>
      <c r="B389" s="166" t="s">
        <v>700</v>
      </c>
      <c r="C389" s="166" t="s">
        <v>698</v>
      </c>
      <c r="D389" s="157">
        <v>600</v>
      </c>
      <c r="E389" s="157">
        <f>+'SMT KIT Rcvd '!D388</f>
        <v>0</v>
      </c>
      <c r="F389" s="157">
        <f>+'Excise Dispatch '!D388</f>
        <v>0</v>
      </c>
      <c r="G389" s="157">
        <f>+'PACK Prod'!D388</f>
        <v>0</v>
      </c>
      <c r="H389" s="157">
        <f t="shared" si="39"/>
        <v>600</v>
      </c>
      <c r="I389" s="158">
        <f t="shared" si="40"/>
        <v>600</v>
      </c>
      <c r="J389" s="157">
        <f t="shared" si="41"/>
        <v>0</v>
      </c>
      <c r="K389" s="160">
        <v>0</v>
      </c>
      <c r="L389" s="159">
        <f t="shared" si="42"/>
        <v>-600</v>
      </c>
      <c r="M389" s="157">
        <v>600</v>
      </c>
    </row>
    <row r="390" spans="1:13" s="67" customFormat="1" ht="15.75" customHeight="1" x14ac:dyDescent="0.25">
      <c r="A390" s="48">
        <v>53</v>
      </c>
      <c r="B390" s="166" t="s">
        <v>703</v>
      </c>
      <c r="C390" s="166" t="s">
        <v>701</v>
      </c>
      <c r="D390" s="157">
        <v>0</v>
      </c>
      <c r="E390" s="157">
        <f>+'SMT KIT Rcvd '!D389</f>
        <v>0</v>
      </c>
      <c r="F390" s="157">
        <f>+'Excise Dispatch '!D389</f>
        <v>0</v>
      </c>
      <c r="G390" s="157">
        <f>+'PACK Prod'!D389</f>
        <v>0</v>
      </c>
      <c r="H390" s="157">
        <f t="shared" si="39"/>
        <v>0</v>
      </c>
      <c r="I390" s="158">
        <f t="shared" si="40"/>
        <v>0</v>
      </c>
      <c r="J390" s="157">
        <f t="shared" si="41"/>
        <v>0</v>
      </c>
      <c r="K390" s="160">
        <v>0</v>
      </c>
      <c r="L390" s="159">
        <f t="shared" si="42"/>
        <v>0</v>
      </c>
      <c r="M390" s="157">
        <v>0</v>
      </c>
    </row>
    <row r="391" spans="1:13" s="67" customFormat="1" ht="15.75" customHeight="1" x14ac:dyDescent="0.25">
      <c r="A391" s="48">
        <v>54</v>
      </c>
      <c r="B391" s="166" t="s">
        <v>704</v>
      </c>
      <c r="C391" s="166" t="s">
        <v>702</v>
      </c>
      <c r="D391" s="157">
        <v>0</v>
      </c>
      <c r="E391" s="157">
        <f>+'SMT KIT Rcvd '!D390</f>
        <v>4340</v>
      </c>
      <c r="F391" s="157">
        <f>+'Excise Dispatch '!D390</f>
        <v>4340</v>
      </c>
      <c r="G391" s="157">
        <f>+'PACK Prod'!D390</f>
        <v>4340</v>
      </c>
      <c r="H391" s="157">
        <f t="shared" si="39"/>
        <v>0</v>
      </c>
      <c r="I391" s="158">
        <f t="shared" si="40"/>
        <v>0</v>
      </c>
      <c r="J391" s="157">
        <f t="shared" si="41"/>
        <v>0</v>
      </c>
      <c r="K391" s="160">
        <v>4340</v>
      </c>
      <c r="L391" s="159">
        <f t="shared" si="42"/>
        <v>0</v>
      </c>
      <c r="M391" s="157">
        <v>0</v>
      </c>
    </row>
    <row r="392" spans="1:13" s="67" customFormat="1" ht="15.75" customHeight="1" x14ac:dyDescent="0.25">
      <c r="A392" s="48">
        <v>55</v>
      </c>
      <c r="B392" s="166" t="s">
        <v>707</v>
      </c>
      <c r="C392" s="166" t="s">
        <v>705</v>
      </c>
      <c r="D392" s="157">
        <v>0</v>
      </c>
      <c r="E392" s="157">
        <f>+'SMT KIT Rcvd '!D391</f>
        <v>0</v>
      </c>
      <c r="F392" s="157">
        <f>+'Excise Dispatch '!D391</f>
        <v>0</v>
      </c>
      <c r="G392" s="157">
        <f>+'PACK Prod'!D391</f>
        <v>0</v>
      </c>
      <c r="H392" s="157">
        <f t="shared" si="39"/>
        <v>0</v>
      </c>
      <c r="I392" s="158">
        <f t="shared" si="40"/>
        <v>0</v>
      </c>
      <c r="J392" s="157">
        <f t="shared" si="41"/>
        <v>0</v>
      </c>
      <c r="K392" s="160">
        <v>0</v>
      </c>
      <c r="L392" s="159">
        <f t="shared" si="42"/>
        <v>0</v>
      </c>
      <c r="M392" s="157">
        <v>0</v>
      </c>
    </row>
    <row r="393" spans="1:13" s="67" customFormat="1" ht="15.75" customHeight="1" x14ac:dyDescent="0.25">
      <c r="A393" s="48">
        <v>56</v>
      </c>
      <c r="B393" s="166" t="s">
        <v>708</v>
      </c>
      <c r="C393" s="166" t="s">
        <v>706</v>
      </c>
      <c r="D393" s="157">
        <v>0</v>
      </c>
      <c r="E393" s="157">
        <f>+'SMT KIT Rcvd '!D392</f>
        <v>3000</v>
      </c>
      <c r="F393" s="157">
        <f>+'Excise Dispatch '!D392</f>
        <v>3000</v>
      </c>
      <c r="G393" s="157">
        <f>+'PACK Prod'!D392</f>
        <v>3000</v>
      </c>
      <c r="H393" s="157">
        <f t="shared" si="39"/>
        <v>0</v>
      </c>
      <c r="I393" s="158">
        <f t="shared" si="40"/>
        <v>0</v>
      </c>
      <c r="J393" s="157">
        <f t="shared" si="41"/>
        <v>0</v>
      </c>
      <c r="K393" s="160">
        <v>3000</v>
      </c>
      <c r="L393" s="159">
        <f t="shared" si="42"/>
        <v>0</v>
      </c>
      <c r="M393" s="157">
        <v>0</v>
      </c>
    </row>
    <row r="394" spans="1:13" s="67" customFormat="1" ht="15.75" customHeight="1" x14ac:dyDescent="0.25">
      <c r="A394" s="48">
        <v>57</v>
      </c>
      <c r="B394" s="166" t="s">
        <v>710</v>
      </c>
      <c r="C394" s="166" t="s">
        <v>709</v>
      </c>
      <c r="D394" s="157">
        <v>0</v>
      </c>
      <c r="E394" s="157">
        <f>+'SMT KIT Rcvd '!D393</f>
        <v>0</v>
      </c>
      <c r="F394" s="157">
        <f>+'Excise Dispatch '!D393</f>
        <v>0</v>
      </c>
      <c r="G394" s="157">
        <f>+'PACK Prod'!D393</f>
        <v>0</v>
      </c>
      <c r="H394" s="157">
        <f t="shared" si="39"/>
        <v>0</v>
      </c>
      <c r="I394" s="158">
        <f t="shared" si="40"/>
        <v>0</v>
      </c>
      <c r="J394" s="157">
        <f t="shared" si="41"/>
        <v>0</v>
      </c>
      <c r="K394" s="160">
        <v>0</v>
      </c>
      <c r="L394" s="159">
        <f t="shared" si="42"/>
        <v>0</v>
      </c>
      <c r="M394" s="157">
        <v>0</v>
      </c>
    </row>
    <row r="395" spans="1:13" s="67" customFormat="1" ht="15.75" customHeight="1" x14ac:dyDescent="0.25">
      <c r="A395" s="48">
        <v>58</v>
      </c>
      <c r="B395" s="166" t="s">
        <v>334</v>
      </c>
      <c r="C395" s="166" t="s">
        <v>525</v>
      </c>
      <c r="D395" s="157">
        <v>0</v>
      </c>
      <c r="E395" s="157">
        <f>+'SMT KIT Rcvd '!D394</f>
        <v>15900</v>
      </c>
      <c r="F395" s="157">
        <f>+'Excise Dispatch '!D394</f>
        <v>15900</v>
      </c>
      <c r="G395" s="157">
        <f>+'PACK Prod'!D394</f>
        <v>15900</v>
      </c>
      <c r="H395" s="157">
        <f t="shared" si="39"/>
        <v>0</v>
      </c>
      <c r="I395" s="158">
        <f t="shared" si="40"/>
        <v>0</v>
      </c>
      <c r="J395" s="157">
        <f t="shared" si="41"/>
        <v>0</v>
      </c>
      <c r="K395" s="160">
        <v>15900</v>
      </c>
      <c r="L395" s="159">
        <f t="shared" si="42"/>
        <v>0</v>
      </c>
      <c r="M395" s="157">
        <v>0</v>
      </c>
    </row>
    <row r="396" spans="1:13" s="67" customFormat="1" ht="15.75" customHeight="1" x14ac:dyDescent="0.25">
      <c r="A396" s="48">
        <v>59</v>
      </c>
      <c r="B396" s="166" t="s">
        <v>712</v>
      </c>
      <c r="C396" s="166" t="s">
        <v>711</v>
      </c>
      <c r="D396" s="157">
        <v>1100</v>
      </c>
      <c r="E396" s="157">
        <f>+'SMT KIT Rcvd '!D395</f>
        <v>0</v>
      </c>
      <c r="F396" s="157">
        <f>+'Excise Dispatch '!D395</f>
        <v>1100</v>
      </c>
      <c r="G396" s="157">
        <f>+'PACK Prod'!D395</f>
        <v>0</v>
      </c>
      <c r="H396" s="157">
        <f t="shared" si="39"/>
        <v>0</v>
      </c>
      <c r="I396" s="158">
        <f t="shared" si="40"/>
        <v>0</v>
      </c>
      <c r="J396" s="157">
        <f t="shared" si="41"/>
        <v>0</v>
      </c>
      <c r="K396" s="160">
        <v>0</v>
      </c>
      <c r="L396" s="159">
        <f t="shared" si="42"/>
        <v>-1100</v>
      </c>
      <c r="M396" s="157">
        <v>1100</v>
      </c>
    </row>
    <row r="397" spans="1:13" s="67" customFormat="1" ht="15.75" customHeight="1" x14ac:dyDescent="0.25">
      <c r="A397" s="48">
        <v>60</v>
      </c>
      <c r="B397" s="166" t="s">
        <v>527</v>
      </c>
      <c r="C397" s="166" t="s">
        <v>526</v>
      </c>
      <c r="D397" s="157">
        <v>0</v>
      </c>
      <c r="E397" s="157">
        <f>+'SMT KIT Rcvd '!D396</f>
        <v>35000</v>
      </c>
      <c r="F397" s="157">
        <f>+'Excise Dispatch '!D396</f>
        <v>35000</v>
      </c>
      <c r="G397" s="157">
        <f>+'PACK Prod'!D396</f>
        <v>35000</v>
      </c>
      <c r="H397" s="157">
        <f t="shared" si="39"/>
        <v>0</v>
      </c>
      <c r="I397" s="158">
        <f t="shared" si="40"/>
        <v>0</v>
      </c>
      <c r="J397" s="157">
        <f t="shared" si="41"/>
        <v>0</v>
      </c>
      <c r="K397" s="160">
        <v>35000</v>
      </c>
      <c r="L397" s="159">
        <f t="shared" si="42"/>
        <v>0</v>
      </c>
      <c r="M397" s="157">
        <v>0</v>
      </c>
    </row>
    <row r="398" spans="1:13" s="67" customFormat="1" ht="15.75" customHeight="1" x14ac:dyDescent="0.25">
      <c r="A398" s="48">
        <v>61</v>
      </c>
      <c r="B398" s="166" t="s">
        <v>386</v>
      </c>
      <c r="C398" s="166" t="s">
        <v>385</v>
      </c>
      <c r="D398" s="157">
        <v>0</v>
      </c>
      <c r="E398" s="157">
        <f>+'SMT KIT Rcvd '!D397</f>
        <v>16000</v>
      </c>
      <c r="F398" s="157">
        <f>+'Excise Dispatch '!D397</f>
        <v>16000</v>
      </c>
      <c r="G398" s="157">
        <f>+'PACK Prod'!D397</f>
        <v>16000</v>
      </c>
      <c r="H398" s="157">
        <f t="shared" si="39"/>
        <v>0</v>
      </c>
      <c r="I398" s="158">
        <f t="shared" si="40"/>
        <v>0</v>
      </c>
      <c r="J398" s="157">
        <f t="shared" si="41"/>
        <v>0</v>
      </c>
      <c r="K398" s="160">
        <v>16000</v>
      </c>
      <c r="L398" s="159">
        <f t="shared" si="42"/>
        <v>0</v>
      </c>
      <c r="M398" s="157">
        <v>0</v>
      </c>
    </row>
    <row r="399" spans="1:13" s="67" customFormat="1" ht="15.75" customHeight="1" x14ac:dyDescent="0.25">
      <c r="A399" s="48">
        <v>62</v>
      </c>
      <c r="B399" s="166" t="s">
        <v>341</v>
      </c>
      <c r="C399" s="166" t="s">
        <v>387</v>
      </c>
      <c r="D399" s="157">
        <v>0</v>
      </c>
      <c r="E399" s="157">
        <f>+'SMT KIT Rcvd '!D398</f>
        <v>7000</v>
      </c>
      <c r="F399" s="157">
        <f>+'Excise Dispatch '!D398</f>
        <v>7000</v>
      </c>
      <c r="G399" s="157">
        <f>+'PACK Prod'!D398</f>
        <v>7000</v>
      </c>
      <c r="H399" s="157">
        <f t="shared" si="39"/>
        <v>0</v>
      </c>
      <c r="I399" s="158">
        <f t="shared" si="40"/>
        <v>0</v>
      </c>
      <c r="J399" s="157">
        <f t="shared" si="41"/>
        <v>0</v>
      </c>
      <c r="K399" s="160">
        <v>7000</v>
      </c>
      <c r="L399" s="159">
        <f t="shared" si="42"/>
        <v>0</v>
      </c>
      <c r="M399" s="157">
        <v>0</v>
      </c>
    </row>
    <row r="400" spans="1:13" s="67" customFormat="1" ht="15.75" customHeight="1" x14ac:dyDescent="0.25">
      <c r="A400" s="48">
        <v>63</v>
      </c>
      <c r="B400" s="166" t="s">
        <v>770</v>
      </c>
      <c r="C400" s="166" t="s">
        <v>769</v>
      </c>
      <c r="D400" s="157">
        <v>0</v>
      </c>
      <c r="E400" s="157">
        <f>+'SMT KIT Rcvd '!D399</f>
        <v>2850</v>
      </c>
      <c r="F400" s="157">
        <f>+'Excise Dispatch '!D399</f>
        <v>2850</v>
      </c>
      <c r="G400" s="157">
        <f>+'PACK Prod'!D399</f>
        <v>2850</v>
      </c>
      <c r="H400" s="157">
        <f t="shared" si="39"/>
        <v>0</v>
      </c>
      <c r="I400" s="158">
        <f t="shared" si="40"/>
        <v>0</v>
      </c>
      <c r="J400" s="157">
        <f t="shared" si="41"/>
        <v>0</v>
      </c>
      <c r="K400" s="160">
        <v>2850</v>
      </c>
      <c r="L400" s="159">
        <f t="shared" si="42"/>
        <v>0</v>
      </c>
      <c r="M400" s="157">
        <v>0</v>
      </c>
    </row>
    <row r="401" spans="1:13" s="67" customFormat="1" ht="15.75" customHeight="1" x14ac:dyDescent="0.25">
      <c r="A401" s="48">
        <v>64</v>
      </c>
      <c r="B401" s="166" t="s">
        <v>772</v>
      </c>
      <c r="C401" s="166" t="s">
        <v>771</v>
      </c>
      <c r="D401" s="157">
        <v>0</v>
      </c>
      <c r="E401" s="157">
        <f>+'SMT KIT Rcvd '!D400</f>
        <v>0</v>
      </c>
      <c r="F401" s="157">
        <f>+'Excise Dispatch '!D400</f>
        <v>0</v>
      </c>
      <c r="G401" s="157">
        <f>+'PACK Prod'!D400</f>
        <v>0</v>
      </c>
      <c r="H401" s="157">
        <f t="shared" si="39"/>
        <v>0</v>
      </c>
      <c r="I401" s="158">
        <f t="shared" si="40"/>
        <v>0</v>
      </c>
      <c r="J401" s="157">
        <f t="shared" si="41"/>
        <v>0</v>
      </c>
      <c r="K401" s="160">
        <v>0</v>
      </c>
      <c r="L401" s="159">
        <f t="shared" si="42"/>
        <v>0</v>
      </c>
      <c r="M401" s="157">
        <v>0</v>
      </c>
    </row>
    <row r="402" spans="1:13" s="67" customFormat="1" ht="15.75" customHeight="1" x14ac:dyDescent="0.25">
      <c r="A402" s="48">
        <v>65</v>
      </c>
      <c r="B402" s="166" t="s">
        <v>352</v>
      </c>
      <c r="C402" s="166" t="s">
        <v>353</v>
      </c>
      <c r="D402" s="157">
        <v>0</v>
      </c>
      <c r="E402" s="157">
        <f>+'SMT KIT Rcvd '!D401</f>
        <v>0</v>
      </c>
      <c r="F402" s="157">
        <f>+'Excise Dispatch '!D401</f>
        <v>0</v>
      </c>
      <c r="G402" s="157">
        <f>+'PACK Prod'!D401</f>
        <v>0</v>
      </c>
      <c r="H402" s="157">
        <f t="shared" ref="H402:H465" si="43">D402+E402-F402</f>
        <v>0</v>
      </c>
      <c r="I402" s="158">
        <f t="shared" ref="I402:I465" si="44">G402+M402-F402</f>
        <v>0</v>
      </c>
      <c r="J402" s="157">
        <f t="shared" si="41"/>
        <v>0</v>
      </c>
      <c r="K402" s="160">
        <v>0</v>
      </c>
      <c r="L402" s="159">
        <f t="shared" ref="L402:L465" si="45">K402-D402-E402</f>
        <v>0</v>
      </c>
      <c r="M402" s="157">
        <v>0</v>
      </c>
    </row>
    <row r="403" spans="1:13" s="67" customFormat="1" ht="15.75" customHeight="1" x14ac:dyDescent="0.25">
      <c r="A403" s="48">
        <v>66</v>
      </c>
      <c r="B403" s="166" t="s">
        <v>378</v>
      </c>
      <c r="C403" s="166" t="s">
        <v>377</v>
      </c>
      <c r="D403" s="157">
        <v>0</v>
      </c>
      <c r="E403" s="157">
        <f>+'SMT KIT Rcvd '!D402</f>
        <v>0</v>
      </c>
      <c r="F403" s="157">
        <f>+'Excise Dispatch '!D402</f>
        <v>0</v>
      </c>
      <c r="G403" s="157">
        <f>+'PACK Prod'!D402</f>
        <v>0</v>
      </c>
      <c r="H403" s="157">
        <f t="shared" si="43"/>
        <v>0</v>
      </c>
      <c r="I403" s="158">
        <f t="shared" si="44"/>
        <v>0</v>
      </c>
      <c r="J403" s="157">
        <f t="shared" si="41"/>
        <v>0</v>
      </c>
      <c r="K403" s="160">
        <v>0</v>
      </c>
      <c r="L403" s="159">
        <f t="shared" si="45"/>
        <v>0</v>
      </c>
      <c r="M403" s="157">
        <v>0</v>
      </c>
    </row>
    <row r="404" spans="1:13" s="67" customFormat="1" ht="15.75" customHeight="1" x14ac:dyDescent="0.25">
      <c r="A404" s="48">
        <v>67</v>
      </c>
      <c r="B404" s="166" t="s">
        <v>379</v>
      </c>
      <c r="C404" s="166" t="s">
        <v>382</v>
      </c>
      <c r="D404" s="157">
        <v>0</v>
      </c>
      <c r="E404" s="157">
        <f>+'SMT KIT Rcvd '!D403</f>
        <v>0</v>
      </c>
      <c r="F404" s="157">
        <f>+'Excise Dispatch '!D403</f>
        <v>0</v>
      </c>
      <c r="G404" s="157">
        <f>+'PACK Prod'!D403</f>
        <v>0</v>
      </c>
      <c r="H404" s="157">
        <f t="shared" si="43"/>
        <v>0</v>
      </c>
      <c r="I404" s="158">
        <f t="shared" si="44"/>
        <v>0</v>
      </c>
      <c r="J404" s="157">
        <f t="shared" si="41"/>
        <v>0</v>
      </c>
      <c r="K404" s="160">
        <v>0</v>
      </c>
      <c r="L404" s="159">
        <f t="shared" si="45"/>
        <v>0</v>
      </c>
      <c r="M404" s="157">
        <v>0</v>
      </c>
    </row>
    <row r="405" spans="1:13" s="67" customFormat="1" ht="15.75" customHeight="1" x14ac:dyDescent="0.25">
      <c r="A405" s="48">
        <v>68</v>
      </c>
      <c r="B405" s="166" t="s">
        <v>380</v>
      </c>
      <c r="C405" s="166" t="s">
        <v>383</v>
      </c>
      <c r="D405" s="157">
        <v>0</v>
      </c>
      <c r="E405" s="157">
        <f>+'SMT KIT Rcvd '!D404</f>
        <v>250</v>
      </c>
      <c r="F405" s="157">
        <f>+'Excise Dispatch '!D404</f>
        <v>250</v>
      </c>
      <c r="G405" s="157">
        <f>+'PACK Prod'!D404</f>
        <v>250</v>
      </c>
      <c r="H405" s="157">
        <f t="shared" si="43"/>
        <v>0</v>
      </c>
      <c r="I405" s="158">
        <f t="shared" si="44"/>
        <v>0</v>
      </c>
      <c r="J405" s="157">
        <f t="shared" si="41"/>
        <v>0</v>
      </c>
      <c r="K405" s="160">
        <v>250</v>
      </c>
      <c r="L405" s="159">
        <f t="shared" si="45"/>
        <v>0</v>
      </c>
      <c r="M405" s="157">
        <v>0</v>
      </c>
    </row>
    <row r="406" spans="1:13" s="67" customFormat="1" ht="15.75" customHeight="1" x14ac:dyDescent="0.25">
      <c r="A406" s="48">
        <v>69</v>
      </c>
      <c r="B406" s="166" t="s">
        <v>381</v>
      </c>
      <c r="C406" s="166" t="s">
        <v>384</v>
      </c>
      <c r="D406" s="157">
        <v>0</v>
      </c>
      <c r="E406" s="157">
        <f>+'SMT KIT Rcvd '!D405</f>
        <v>4972</v>
      </c>
      <c r="F406" s="157">
        <f>+'Excise Dispatch '!D405</f>
        <v>4972</v>
      </c>
      <c r="G406" s="157">
        <f>+'PACK Prod'!D405</f>
        <v>4972</v>
      </c>
      <c r="H406" s="157">
        <f t="shared" si="43"/>
        <v>0</v>
      </c>
      <c r="I406" s="158">
        <f t="shared" si="44"/>
        <v>0</v>
      </c>
      <c r="J406" s="157">
        <f t="shared" si="41"/>
        <v>0</v>
      </c>
      <c r="K406" s="160">
        <v>4972</v>
      </c>
      <c r="L406" s="159">
        <f t="shared" si="45"/>
        <v>0</v>
      </c>
      <c r="M406" s="157">
        <v>0</v>
      </c>
    </row>
    <row r="407" spans="1:13" s="67" customFormat="1" ht="15.75" customHeight="1" x14ac:dyDescent="0.25">
      <c r="A407" s="48">
        <v>70</v>
      </c>
      <c r="B407" s="166" t="s">
        <v>341</v>
      </c>
      <c r="C407" s="166" t="s">
        <v>833</v>
      </c>
      <c r="D407" s="157">
        <v>0</v>
      </c>
      <c r="E407" s="157">
        <f>+'SMT KIT Rcvd '!D406</f>
        <v>11000</v>
      </c>
      <c r="F407" s="157">
        <f>+'Excise Dispatch '!D406</f>
        <v>11000</v>
      </c>
      <c r="G407" s="157">
        <f>+'PACK Prod'!D406</f>
        <v>11000</v>
      </c>
      <c r="H407" s="157">
        <f t="shared" si="43"/>
        <v>0</v>
      </c>
      <c r="I407" s="158">
        <f t="shared" si="44"/>
        <v>0</v>
      </c>
      <c r="J407" s="157">
        <f t="shared" si="41"/>
        <v>0</v>
      </c>
      <c r="K407" s="160">
        <v>11000</v>
      </c>
      <c r="L407" s="159">
        <f t="shared" si="45"/>
        <v>0</v>
      </c>
      <c r="M407" s="157">
        <v>0</v>
      </c>
    </row>
    <row r="408" spans="1:13" s="67" customFormat="1" ht="15.75" customHeight="1" x14ac:dyDescent="0.25">
      <c r="A408" s="48">
        <v>71</v>
      </c>
      <c r="B408" s="166" t="s">
        <v>835</v>
      </c>
      <c r="C408" s="166" t="s">
        <v>834</v>
      </c>
      <c r="D408" s="157">
        <v>0</v>
      </c>
      <c r="E408" s="157">
        <f>+'SMT KIT Rcvd '!D407</f>
        <v>798</v>
      </c>
      <c r="F408" s="157">
        <f>+'Excise Dispatch '!D407</f>
        <v>798</v>
      </c>
      <c r="G408" s="157">
        <f>+'PACK Prod'!D407</f>
        <v>798</v>
      </c>
      <c r="H408" s="157">
        <f t="shared" si="43"/>
        <v>0</v>
      </c>
      <c r="I408" s="158">
        <f t="shared" si="44"/>
        <v>0</v>
      </c>
      <c r="J408" s="157">
        <f t="shared" si="41"/>
        <v>0</v>
      </c>
      <c r="K408" s="160">
        <v>798</v>
      </c>
      <c r="L408" s="159">
        <f t="shared" si="45"/>
        <v>0</v>
      </c>
      <c r="M408" s="157">
        <v>0</v>
      </c>
    </row>
    <row r="409" spans="1:13" s="67" customFormat="1" ht="15.75" customHeight="1" x14ac:dyDescent="0.25">
      <c r="A409" s="48">
        <v>72</v>
      </c>
      <c r="B409" s="166" t="s">
        <v>113</v>
      </c>
      <c r="C409" s="166" t="s">
        <v>114</v>
      </c>
      <c r="D409" s="157">
        <v>0</v>
      </c>
      <c r="E409" s="157">
        <f>+'SMT KIT Rcvd '!D408</f>
        <v>4500</v>
      </c>
      <c r="F409" s="157">
        <f>+'Excise Dispatch '!D408</f>
        <v>4500</v>
      </c>
      <c r="G409" s="157">
        <f>+'PACK Prod'!D408</f>
        <v>4500</v>
      </c>
      <c r="H409" s="157">
        <f t="shared" si="43"/>
        <v>0</v>
      </c>
      <c r="I409" s="158">
        <f t="shared" si="44"/>
        <v>0</v>
      </c>
      <c r="J409" s="157">
        <f t="shared" si="41"/>
        <v>0</v>
      </c>
      <c r="K409" s="160">
        <v>4500</v>
      </c>
      <c r="L409" s="159">
        <f t="shared" si="45"/>
        <v>0</v>
      </c>
      <c r="M409" s="157">
        <v>0</v>
      </c>
    </row>
    <row r="410" spans="1:13" s="67" customFormat="1" ht="15.75" customHeight="1" x14ac:dyDescent="0.25">
      <c r="A410" s="48">
        <v>73</v>
      </c>
      <c r="B410" s="166" t="s">
        <v>778</v>
      </c>
      <c r="C410" s="166" t="s">
        <v>777</v>
      </c>
      <c r="D410" s="157">
        <v>0</v>
      </c>
      <c r="E410" s="157">
        <f>+'SMT KIT Rcvd '!D409</f>
        <v>1000</v>
      </c>
      <c r="F410" s="157">
        <f>+'Excise Dispatch '!D409</f>
        <v>1000</v>
      </c>
      <c r="G410" s="157">
        <f>+'PACK Prod'!D409</f>
        <v>1000</v>
      </c>
      <c r="H410" s="157">
        <f t="shared" si="43"/>
        <v>0</v>
      </c>
      <c r="I410" s="158">
        <f t="shared" si="44"/>
        <v>0</v>
      </c>
      <c r="J410" s="157">
        <f t="shared" si="41"/>
        <v>0</v>
      </c>
      <c r="K410" s="160">
        <v>1000</v>
      </c>
      <c r="L410" s="159">
        <f t="shared" si="45"/>
        <v>0</v>
      </c>
      <c r="M410" s="157">
        <v>0</v>
      </c>
    </row>
    <row r="411" spans="1:13" s="67" customFormat="1" ht="15.75" customHeight="1" x14ac:dyDescent="0.25">
      <c r="A411" s="48">
        <v>74</v>
      </c>
      <c r="B411" s="166" t="s">
        <v>780</v>
      </c>
      <c r="C411" s="166" t="s">
        <v>779</v>
      </c>
      <c r="D411" s="157">
        <v>0</v>
      </c>
      <c r="E411" s="157">
        <f>+'SMT KIT Rcvd '!D410</f>
        <v>5000</v>
      </c>
      <c r="F411" s="157">
        <f>+'Excise Dispatch '!D410</f>
        <v>5000</v>
      </c>
      <c r="G411" s="157">
        <f>+'PACK Prod'!D410</f>
        <v>5000</v>
      </c>
      <c r="H411" s="157">
        <f t="shared" si="43"/>
        <v>0</v>
      </c>
      <c r="I411" s="158">
        <f t="shared" si="44"/>
        <v>0</v>
      </c>
      <c r="J411" s="157">
        <f t="shared" si="41"/>
        <v>0</v>
      </c>
      <c r="K411" s="160">
        <v>5000</v>
      </c>
      <c r="L411" s="159">
        <f t="shared" si="45"/>
        <v>0</v>
      </c>
      <c r="M411" s="157">
        <v>0</v>
      </c>
    </row>
    <row r="412" spans="1:13" s="67" customFormat="1" ht="15.75" customHeight="1" x14ac:dyDescent="0.25">
      <c r="A412" s="48">
        <v>75</v>
      </c>
      <c r="B412" s="166" t="s">
        <v>782</v>
      </c>
      <c r="C412" s="166" t="s">
        <v>781</v>
      </c>
      <c r="D412" s="157">
        <v>0</v>
      </c>
      <c r="E412" s="157">
        <f>+'SMT KIT Rcvd '!D411</f>
        <v>3700</v>
      </c>
      <c r="F412" s="157">
        <f>+'Excise Dispatch '!D411</f>
        <v>3700</v>
      </c>
      <c r="G412" s="157">
        <f>+'PACK Prod'!D411</f>
        <v>3700</v>
      </c>
      <c r="H412" s="157">
        <f t="shared" si="43"/>
        <v>0</v>
      </c>
      <c r="I412" s="158">
        <f t="shared" si="44"/>
        <v>0</v>
      </c>
      <c r="J412" s="157">
        <f t="shared" si="41"/>
        <v>0</v>
      </c>
      <c r="K412" s="160">
        <v>3700</v>
      </c>
      <c r="L412" s="159">
        <f t="shared" si="45"/>
        <v>0</v>
      </c>
      <c r="M412" s="157">
        <v>0</v>
      </c>
    </row>
    <row r="413" spans="1:13" s="67" customFormat="1" ht="15.75" customHeight="1" x14ac:dyDescent="0.25">
      <c r="A413" s="48">
        <v>76</v>
      </c>
      <c r="B413" s="166" t="s">
        <v>807</v>
      </c>
      <c r="C413" s="166" t="s">
        <v>805</v>
      </c>
      <c r="D413" s="157">
        <v>0</v>
      </c>
      <c r="E413" s="157">
        <f>+'SMT KIT Rcvd '!D412</f>
        <v>2900</v>
      </c>
      <c r="F413" s="157">
        <f>+'Excise Dispatch '!D412</f>
        <v>2900</v>
      </c>
      <c r="G413" s="157">
        <f>+'PACK Prod'!D412</f>
        <v>2900</v>
      </c>
      <c r="H413" s="157">
        <f t="shared" si="43"/>
        <v>0</v>
      </c>
      <c r="I413" s="158">
        <f t="shared" si="44"/>
        <v>0</v>
      </c>
      <c r="J413" s="157">
        <f t="shared" si="41"/>
        <v>0</v>
      </c>
      <c r="K413" s="160">
        <v>2900</v>
      </c>
      <c r="L413" s="159">
        <f t="shared" si="45"/>
        <v>0</v>
      </c>
      <c r="M413" s="157">
        <v>0</v>
      </c>
    </row>
    <row r="414" spans="1:13" s="67" customFormat="1" ht="15.75" customHeight="1" x14ac:dyDescent="0.25">
      <c r="A414" s="48">
        <v>77</v>
      </c>
      <c r="B414" s="166" t="s">
        <v>808</v>
      </c>
      <c r="C414" s="166" t="s">
        <v>806</v>
      </c>
      <c r="D414" s="157">
        <v>0</v>
      </c>
      <c r="E414" s="157">
        <f>+'SMT KIT Rcvd '!D413</f>
        <v>0</v>
      </c>
      <c r="F414" s="157">
        <f>+'Excise Dispatch '!D413</f>
        <v>0</v>
      </c>
      <c r="G414" s="157">
        <f>+'PACK Prod'!D413</f>
        <v>0</v>
      </c>
      <c r="H414" s="157">
        <f t="shared" si="43"/>
        <v>0</v>
      </c>
      <c r="I414" s="158">
        <f t="shared" si="44"/>
        <v>0</v>
      </c>
      <c r="J414" s="157">
        <f t="shared" si="41"/>
        <v>0</v>
      </c>
      <c r="K414" s="160">
        <v>0</v>
      </c>
      <c r="L414" s="159">
        <f t="shared" si="45"/>
        <v>0</v>
      </c>
      <c r="M414" s="157">
        <v>0</v>
      </c>
    </row>
    <row r="415" spans="1:13" s="67" customFormat="1" ht="15.75" customHeight="1" x14ac:dyDescent="0.25">
      <c r="A415" s="48">
        <v>78</v>
      </c>
      <c r="B415" s="166" t="s">
        <v>810</v>
      </c>
      <c r="C415" s="166" t="s">
        <v>809</v>
      </c>
      <c r="D415" s="157">
        <v>0</v>
      </c>
      <c r="E415" s="157">
        <f>+'SMT KIT Rcvd '!D414</f>
        <v>500</v>
      </c>
      <c r="F415" s="157">
        <f>+'Excise Dispatch '!D414</f>
        <v>500</v>
      </c>
      <c r="G415" s="157">
        <f>+'PACK Prod'!D414</f>
        <v>500</v>
      </c>
      <c r="H415" s="157">
        <f t="shared" si="43"/>
        <v>0</v>
      </c>
      <c r="I415" s="158">
        <f t="shared" si="44"/>
        <v>0</v>
      </c>
      <c r="J415" s="157">
        <f t="shared" si="41"/>
        <v>0</v>
      </c>
      <c r="K415" s="160">
        <v>500</v>
      </c>
      <c r="L415" s="159">
        <f t="shared" si="45"/>
        <v>0</v>
      </c>
      <c r="M415" s="157">
        <v>0</v>
      </c>
    </row>
    <row r="416" spans="1:13" s="67" customFormat="1" ht="15.75" customHeight="1" x14ac:dyDescent="0.25">
      <c r="A416" s="48">
        <v>79</v>
      </c>
      <c r="B416" s="166" t="s">
        <v>343</v>
      </c>
      <c r="C416" s="166" t="s">
        <v>392</v>
      </c>
      <c r="D416" s="157">
        <v>0</v>
      </c>
      <c r="E416" s="157">
        <f>+'SMT KIT Rcvd '!D415</f>
        <v>0</v>
      </c>
      <c r="F416" s="157">
        <f>+'Excise Dispatch '!D415</f>
        <v>0</v>
      </c>
      <c r="G416" s="157">
        <f>+'PACK Prod'!D415</f>
        <v>0</v>
      </c>
      <c r="H416" s="157">
        <f t="shared" si="43"/>
        <v>0</v>
      </c>
      <c r="I416" s="158">
        <f t="shared" si="44"/>
        <v>0</v>
      </c>
      <c r="J416" s="157">
        <f t="shared" si="41"/>
        <v>0</v>
      </c>
      <c r="K416" s="160">
        <v>0</v>
      </c>
      <c r="L416" s="159">
        <f t="shared" si="45"/>
        <v>0</v>
      </c>
      <c r="M416" s="157">
        <v>0</v>
      </c>
    </row>
    <row r="417" spans="1:13" s="67" customFormat="1" ht="15.75" customHeight="1" x14ac:dyDescent="0.25">
      <c r="A417" s="48">
        <v>80</v>
      </c>
      <c r="B417" s="166" t="s">
        <v>393</v>
      </c>
      <c r="C417" s="166" t="s">
        <v>395</v>
      </c>
      <c r="D417" s="157">
        <v>0</v>
      </c>
      <c r="E417" s="157">
        <f>+'SMT KIT Rcvd '!D416</f>
        <v>800</v>
      </c>
      <c r="F417" s="157">
        <f>+'Excise Dispatch '!D416</f>
        <v>800</v>
      </c>
      <c r="G417" s="157">
        <f>+'PACK Prod'!D416</f>
        <v>800</v>
      </c>
      <c r="H417" s="157">
        <f t="shared" si="43"/>
        <v>0</v>
      </c>
      <c r="I417" s="158">
        <f t="shared" si="44"/>
        <v>0</v>
      </c>
      <c r="J417" s="157">
        <f t="shared" si="41"/>
        <v>0</v>
      </c>
      <c r="K417" s="160">
        <v>800</v>
      </c>
      <c r="L417" s="159">
        <f t="shared" si="45"/>
        <v>0</v>
      </c>
      <c r="M417" s="157">
        <v>0</v>
      </c>
    </row>
    <row r="418" spans="1:13" s="67" customFormat="1" ht="15.75" customHeight="1" x14ac:dyDescent="0.25">
      <c r="A418" s="48">
        <v>81</v>
      </c>
      <c r="B418" s="166" t="s">
        <v>394</v>
      </c>
      <c r="C418" s="166" t="s">
        <v>396</v>
      </c>
      <c r="D418" s="157">
        <v>0</v>
      </c>
      <c r="E418" s="157">
        <f>+'SMT KIT Rcvd '!D417</f>
        <v>0</v>
      </c>
      <c r="F418" s="157">
        <f>+'Excise Dispatch '!D417</f>
        <v>0</v>
      </c>
      <c r="G418" s="157">
        <f>+'PACK Prod'!D417</f>
        <v>0</v>
      </c>
      <c r="H418" s="157">
        <f t="shared" si="43"/>
        <v>0</v>
      </c>
      <c r="I418" s="158">
        <f t="shared" si="44"/>
        <v>0</v>
      </c>
      <c r="J418" s="157">
        <f t="shared" si="41"/>
        <v>0</v>
      </c>
      <c r="K418" s="160">
        <v>0</v>
      </c>
      <c r="L418" s="159">
        <f t="shared" si="45"/>
        <v>0</v>
      </c>
      <c r="M418" s="157">
        <v>0</v>
      </c>
    </row>
    <row r="419" spans="1:13" s="67" customFormat="1" ht="15.75" customHeight="1" x14ac:dyDescent="0.25">
      <c r="A419" s="48">
        <v>82</v>
      </c>
      <c r="B419" s="166" t="s">
        <v>658</v>
      </c>
      <c r="C419" s="166" t="s">
        <v>657</v>
      </c>
      <c r="D419" s="157">
        <v>0</v>
      </c>
      <c r="E419" s="157">
        <f>+'SMT KIT Rcvd '!D418</f>
        <v>500</v>
      </c>
      <c r="F419" s="157">
        <f>+'Excise Dispatch '!D418</f>
        <v>500</v>
      </c>
      <c r="G419" s="157">
        <f>+'PACK Prod'!D418</f>
        <v>500</v>
      </c>
      <c r="H419" s="157">
        <f t="shared" si="43"/>
        <v>0</v>
      </c>
      <c r="I419" s="158">
        <f t="shared" si="44"/>
        <v>0</v>
      </c>
      <c r="J419" s="157">
        <f t="shared" si="41"/>
        <v>0</v>
      </c>
      <c r="K419" s="160">
        <v>500</v>
      </c>
      <c r="L419" s="159">
        <f t="shared" si="45"/>
        <v>0</v>
      </c>
      <c r="M419" s="157">
        <v>0</v>
      </c>
    </row>
    <row r="420" spans="1:13" s="67" customFormat="1" ht="15.75" customHeight="1" x14ac:dyDescent="0.25">
      <c r="A420" s="48">
        <v>83</v>
      </c>
      <c r="B420" s="166" t="s">
        <v>211</v>
      </c>
      <c r="C420" s="166" t="s">
        <v>213</v>
      </c>
      <c r="D420" s="157">
        <v>0</v>
      </c>
      <c r="E420" s="157">
        <f>+'SMT KIT Rcvd '!D419</f>
        <v>0</v>
      </c>
      <c r="F420" s="157">
        <f>+'Excise Dispatch '!D419</f>
        <v>0</v>
      </c>
      <c r="G420" s="157">
        <f>+'PACK Prod'!D419</f>
        <v>0</v>
      </c>
      <c r="H420" s="157">
        <f t="shared" si="43"/>
        <v>0</v>
      </c>
      <c r="I420" s="158">
        <f t="shared" si="44"/>
        <v>0</v>
      </c>
      <c r="J420" s="157">
        <f t="shared" si="41"/>
        <v>0</v>
      </c>
      <c r="K420" s="160">
        <v>0</v>
      </c>
      <c r="L420" s="159">
        <f t="shared" si="45"/>
        <v>0</v>
      </c>
      <c r="M420" s="157">
        <v>0</v>
      </c>
    </row>
    <row r="421" spans="1:13" s="67" customFormat="1" ht="15.75" customHeight="1" x14ac:dyDescent="0.25">
      <c r="A421" s="48">
        <v>84</v>
      </c>
      <c r="B421" s="166" t="s">
        <v>212</v>
      </c>
      <c r="C421" s="166" t="s">
        <v>214</v>
      </c>
      <c r="D421" s="157">
        <v>0</v>
      </c>
      <c r="E421" s="157">
        <f>+'SMT KIT Rcvd '!D420</f>
        <v>0</v>
      </c>
      <c r="F421" s="157">
        <f>+'Excise Dispatch '!D420</f>
        <v>0</v>
      </c>
      <c r="G421" s="157">
        <f>+'PACK Prod'!D420</f>
        <v>0</v>
      </c>
      <c r="H421" s="157">
        <f t="shared" si="43"/>
        <v>0</v>
      </c>
      <c r="I421" s="158">
        <f t="shared" si="44"/>
        <v>0</v>
      </c>
      <c r="J421" s="157">
        <f t="shared" si="41"/>
        <v>0</v>
      </c>
      <c r="K421" s="160">
        <v>0</v>
      </c>
      <c r="L421" s="159">
        <f t="shared" si="45"/>
        <v>0</v>
      </c>
      <c r="M421" s="157">
        <v>0</v>
      </c>
    </row>
    <row r="422" spans="1:13" s="67" customFormat="1" ht="15.75" customHeight="1" x14ac:dyDescent="0.25">
      <c r="A422" s="48">
        <v>85</v>
      </c>
      <c r="B422" s="166" t="s">
        <v>373</v>
      </c>
      <c r="C422" s="166" t="s">
        <v>371</v>
      </c>
      <c r="D422" s="157">
        <v>0</v>
      </c>
      <c r="E422" s="157">
        <f>+'SMT KIT Rcvd '!D421</f>
        <v>1200</v>
      </c>
      <c r="F422" s="157">
        <f>+'Excise Dispatch '!D421</f>
        <v>1200</v>
      </c>
      <c r="G422" s="157">
        <f>+'PACK Prod'!D421</f>
        <v>1200</v>
      </c>
      <c r="H422" s="157">
        <f t="shared" si="43"/>
        <v>0</v>
      </c>
      <c r="I422" s="158">
        <f t="shared" si="44"/>
        <v>0</v>
      </c>
      <c r="J422" s="157">
        <f t="shared" si="41"/>
        <v>0</v>
      </c>
      <c r="K422" s="160">
        <v>1200</v>
      </c>
      <c r="L422" s="159">
        <f t="shared" si="45"/>
        <v>0</v>
      </c>
      <c r="M422" s="157">
        <v>0</v>
      </c>
    </row>
    <row r="423" spans="1:13" s="67" customFormat="1" ht="15.75" customHeight="1" x14ac:dyDescent="0.25">
      <c r="A423" s="48">
        <v>86</v>
      </c>
      <c r="B423" s="166" t="s">
        <v>374</v>
      </c>
      <c r="C423" s="166" t="s">
        <v>372</v>
      </c>
      <c r="D423" s="157">
        <v>0</v>
      </c>
      <c r="E423" s="157">
        <f>+'SMT KIT Rcvd '!D422</f>
        <v>0</v>
      </c>
      <c r="F423" s="157">
        <f>+'Excise Dispatch '!D422</f>
        <v>0</v>
      </c>
      <c r="G423" s="157">
        <f>+'PACK Prod'!D422</f>
        <v>0</v>
      </c>
      <c r="H423" s="157">
        <f t="shared" si="43"/>
        <v>0</v>
      </c>
      <c r="I423" s="158">
        <f t="shared" si="44"/>
        <v>0</v>
      </c>
      <c r="J423" s="157">
        <f t="shared" si="41"/>
        <v>0</v>
      </c>
      <c r="K423" s="160">
        <v>0</v>
      </c>
      <c r="L423" s="159">
        <f t="shared" si="45"/>
        <v>0</v>
      </c>
      <c r="M423" s="157">
        <v>0</v>
      </c>
    </row>
    <row r="424" spans="1:13" s="67" customFormat="1" ht="15.75" customHeight="1" x14ac:dyDescent="0.25">
      <c r="A424" s="48">
        <v>87</v>
      </c>
      <c r="B424" s="166" t="s">
        <v>298</v>
      </c>
      <c r="C424" s="166" t="s">
        <v>297</v>
      </c>
      <c r="D424" s="157">
        <v>0</v>
      </c>
      <c r="E424" s="157">
        <f>+'SMT KIT Rcvd '!D423</f>
        <v>0</v>
      </c>
      <c r="F424" s="157">
        <f>+'Excise Dispatch '!D423</f>
        <v>0</v>
      </c>
      <c r="G424" s="157">
        <f>+'PACK Prod'!D423</f>
        <v>0</v>
      </c>
      <c r="H424" s="157">
        <f t="shared" si="43"/>
        <v>0</v>
      </c>
      <c r="I424" s="158">
        <f t="shared" si="44"/>
        <v>0</v>
      </c>
      <c r="J424" s="157">
        <f t="shared" si="41"/>
        <v>0</v>
      </c>
      <c r="K424" s="160">
        <v>0</v>
      </c>
      <c r="L424" s="159">
        <f t="shared" si="45"/>
        <v>0</v>
      </c>
      <c r="M424" s="157">
        <v>0</v>
      </c>
    </row>
    <row r="425" spans="1:13" s="67" customFormat="1" ht="15.75" customHeight="1" x14ac:dyDescent="0.25">
      <c r="A425" s="48">
        <v>88</v>
      </c>
      <c r="B425" s="166" t="s">
        <v>346</v>
      </c>
      <c r="C425" s="166" t="s">
        <v>344</v>
      </c>
      <c r="D425" s="157">
        <v>0</v>
      </c>
      <c r="E425" s="157">
        <f>+'SMT KIT Rcvd '!D424</f>
        <v>70530</v>
      </c>
      <c r="F425" s="157">
        <f>+'Excise Dispatch '!D424</f>
        <v>70530</v>
      </c>
      <c r="G425" s="157">
        <f>+'PACK Prod'!D424</f>
        <v>70530</v>
      </c>
      <c r="H425" s="157">
        <f t="shared" si="43"/>
        <v>0</v>
      </c>
      <c r="I425" s="158">
        <f t="shared" si="44"/>
        <v>0</v>
      </c>
      <c r="J425" s="157">
        <f t="shared" si="41"/>
        <v>0</v>
      </c>
      <c r="K425" s="160">
        <v>70530</v>
      </c>
      <c r="L425" s="159">
        <f t="shared" si="45"/>
        <v>0</v>
      </c>
      <c r="M425" s="157">
        <v>0</v>
      </c>
    </row>
    <row r="426" spans="1:13" s="67" customFormat="1" ht="15.75" customHeight="1" x14ac:dyDescent="0.25">
      <c r="A426" s="48">
        <v>89</v>
      </c>
      <c r="B426" s="166" t="s">
        <v>347</v>
      </c>
      <c r="C426" s="166" t="s">
        <v>345</v>
      </c>
      <c r="D426" s="157">
        <v>0</v>
      </c>
      <c r="E426" s="157">
        <f>+'SMT KIT Rcvd '!D425</f>
        <v>0</v>
      </c>
      <c r="F426" s="157">
        <f>+'Excise Dispatch '!D425</f>
        <v>0</v>
      </c>
      <c r="G426" s="157">
        <f>+'PACK Prod'!D425</f>
        <v>0</v>
      </c>
      <c r="H426" s="157">
        <f t="shared" si="43"/>
        <v>0</v>
      </c>
      <c r="I426" s="158">
        <f t="shared" si="44"/>
        <v>0</v>
      </c>
      <c r="J426" s="157">
        <f t="shared" si="41"/>
        <v>0</v>
      </c>
      <c r="K426" s="160">
        <v>0</v>
      </c>
      <c r="L426" s="159">
        <f t="shared" si="45"/>
        <v>0</v>
      </c>
      <c r="M426" s="157">
        <v>0</v>
      </c>
    </row>
    <row r="427" spans="1:13" s="67" customFormat="1" ht="15.75" customHeight="1" x14ac:dyDescent="0.25">
      <c r="A427" s="48">
        <v>90</v>
      </c>
      <c r="B427" s="166" t="s">
        <v>357</v>
      </c>
      <c r="C427" s="166" t="s">
        <v>355</v>
      </c>
      <c r="D427" s="157">
        <v>0</v>
      </c>
      <c r="E427" s="157">
        <f>+'SMT KIT Rcvd '!D426</f>
        <v>12230</v>
      </c>
      <c r="F427" s="157">
        <f>+'Excise Dispatch '!D426</f>
        <v>12230</v>
      </c>
      <c r="G427" s="157">
        <f>+'PACK Prod'!D426</f>
        <v>12230</v>
      </c>
      <c r="H427" s="157">
        <f t="shared" si="43"/>
        <v>0</v>
      </c>
      <c r="I427" s="158">
        <f t="shared" si="44"/>
        <v>0</v>
      </c>
      <c r="J427" s="157">
        <f t="shared" si="41"/>
        <v>0</v>
      </c>
      <c r="K427" s="160">
        <v>12230</v>
      </c>
      <c r="L427" s="159">
        <f t="shared" si="45"/>
        <v>0</v>
      </c>
      <c r="M427" s="157">
        <v>0</v>
      </c>
    </row>
    <row r="428" spans="1:13" s="67" customFormat="1" ht="15.75" customHeight="1" x14ac:dyDescent="0.25">
      <c r="A428" s="48">
        <v>91</v>
      </c>
      <c r="B428" s="166" t="s">
        <v>358</v>
      </c>
      <c r="C428" s="166" t="s">
        <v>356</v>
      </c>
      <c r="D428" s="157">
        <v>0</v>
      </c>
      <c r="E428" s="157">
        <f>+'SMT KIT Rcvd '!D427</f>
        <v>0</v>
      </c>
      <c r="F428" s="157">
        <f>+'Excise Dispatch '!D427</f>
        <v>0</v>
      </c>
      <c r="G428" s="157">
        <f>+'PACK Prod'!D427</f>
        <v>0</v>
      </c>
      <c r="H428" s="157">
        <f t="shared" si="43"/>
        <v>0</v>
      </c>
      <c r="I428" s="158">
        <f t="shared" si="44"/>
        <v>0</v>
      </c>
      <c r="J428" s="157">
        <f t="shared" si="41"/>
        <v>0</v>
      </c>
      <c r="K428" s="160">
        <v>0</v>
      </c>
      <c r="L428" s="159">
        <f t="shared" si="45"/>
        <v>0</v>
      </c>
      <c r="M428" s="157">
        <v>0</v>
      </c>
    </row>
    <row r="429" spans="1:13" s="67" customFormat="1" ht="15.75" customHeight="1" x14ac:dyDescent="0.25">
      <c r="A429" s="48">
        <v>92</v>
      </c>
      <c r="B429" s="166" t="s">
        <v>359</v>
      </c>
      <c r="C429" s="166" t="s">
        <v>360</v>
      </c>
      <c r="D429" s="157">
        <v>0</v>
      </c>
      <c r="E429" s="157">
        <f>+'SMT KIT Rcvd '!D428</f>
        <v>56000</v>
      </c>
      <c r="F429" s="157">
        <f>+'Excise Dispatch '!D428</f>
        <v>56000</v>
      </c>
      <c r="G429" s="157">
        <f>+'PACK Prod'!D428</f>
        <v>56000</v>
      </c>
      <c r="H429" s="157">
        <f t="shared" si="43"/>
        <v>0</v>
      </c>
      <c r="I429" s="158">
        <f t="shared" si="44"/>
        <v>0</v>
      </c>
      <c r="J429" s="157">
        <f t="shared" ref="J429:J492" si="46">+H429-I429</f>
        <v>0</v>
      </c>
      <c r="K429" s="160">
        <v>56000</v>
      </c>
      <c r="L429" s="159">
        <f t="shared" si="45"/>
        <v>0</v>
      </c>
      <c r="M429" s="157">
        <v>0</v>
      </c>
    </row>
    <row r="430" spans="1:13" s="67" customFormat="1" ht="15.75" customHeight="1" x14ac:dyDescent="0.25">
      <c r="A430" s="48">
        <v>93</v>
      </c>
      <c r="B430" s="166" t="s">
        <v>485</v>
      </c>
      <c r="C430" s="166" t="s">
        <v>484</v>
      </c>
      <c r="D430" s="157">
        <v>0</v>
      </c>
      <c r="E430" s="157">
        <f>+'SMT KIT Rcvd '!D429</f>
        <v>0</v>
      </c>
      <c r="F430" s="157">
        <f>+'Excise Dispatch '!D429</f>
        <v>0</v>
      </c>
      <c r="G430" s="157">
        <f>+'PACK Prod'!D429</f>
        <v>0</v>
      </c>
      <c r="H430" s="157">
        <f t="shared" si="43"/>
        <v>0</v>
      </c>
      <c r="I430" s="158">
        <f t="shared" si="44"/>
        <v>0</v>
      </c>
      <c r="J430" s="157">
        <f t="shared" si="46"/>
        <v>0</v>
      </c>
      <c r="K430" s="160">
        <v>0</v>
      </c>
      <c r="L430" s="159">
        <f t="shared" si="45"/>
        <v>0</v>
      </c>
      <c r="M430" s="157">
        <v>0</v>
      </c>
    </row>
    <row r="431" spans="1:13" s="67" customFormat="1" ht="15.75" customHeight="1" x14ac:dyDescent="0.25">
      <c r="A431" s="48">
        <v>94</v>
      </c>
      <c r="B431" s="166" t="s">
        <v>487</v>
      </c>
      <c r="C431" s="166" t="s">
        <v>486</v>
      </c>
      <c r="D431" s="157">
        <v>0</v>
      </c>
      <c r="E431" s="157">
        <f>+'SMT KIT Rcvd '!D430</f>
        <v>410</v>
      </c>
      <c r="F431" s="157">
        <f>+'Excise Dispatch '!D430</f>
        <v>410</v>
      </c>
      <c r="G431" s="157">
        <f>+'PACK Prod'!D430</f>
        <v>410</v>
      </c>
      <c r="H431" s="157">
        <f t="shared" si="43"/>
        <v>0</v>
      </c>
      <c r="I431" s="158">
        <f t="shared" si="44"/>
        <v>0</v>
      </c>
      <c r="J431" s="157">
        <f t="shared" si="46"/>
        <v>0</v>
      </c>
      <c r="K431" s="160">
        <v>410</v>
      </c>
      <c r="L431" s="159">
        <f t="shared" si="45"/>
        <v>0</v>
      </c>
      <c r="M431" s="157">
        <v>0</v>
      </c>
    </row>
    <row r="432" spans="1:13" s="67" customFormat="1" ht="15.75" customHeight="1" x14ac:dyDescent="0.25">
      <c r="A432" s="48">
        <v>95</v>
      </c>
      <c r="B432" s="166" t="s">
        <v>489</v>
      </c>
      <c r="C432" s="166" t="s">
        <v>488</v>
      </c>
      <c r="D432" s="157">
        <v>0</v>
      </c>
      <c r="E432" s="157">
        <f>+'SMT KIT Rcvd '!D431</f>
        <v>1300</v>
      </c>
      <c r="F432" s="157">
        <f>+'Excise Dispatch '!D431</f>
        <v>1300</v>
      </c>
      <c r="G432" s="157">
        <f>+'PACK Prod'!D431</f>
        <v>1300</v>
      </c>
      <c r="H432" s="157">
        <f t="shared" si="43"/>
        <v>0</v>
      </c>
      <c r="I432" s="158">
        <f t="shared" si="44"/>
        <v>0</v>
      </c>
      <c r="J432" s="157">
        <f t="shared" si="46"/>
        <v>0</v>
      </c>
      <c r="K432" s="160">
        <v>1300</v>
      </c>
      <c r="L432" s="159">
        <f t="shared" si="45"/>
        <v>0</v>
      </c>
      <c r="M432" s="157">
        <v>0</v>
      </c>
    </row>
    <row r="433" spans="1:13" s="67" customFormat="1" ht="15.75" customHeight="1" x14ac:dyDescent="0.25">
      <c r="A433" s="48">
        <v>96</v>
      </c>
      <c r="B433" s="166" t="s">
        <v>159</v>
      </c>
      <c r="C433" s="166" t="s">
        <v>115</v>
      </c>
      <c r="D433" s="157">
        <v>0</v>
      </c>
      <c r="E433" s="157">
        <f>+'SMT KIT Rcvd '!D432</f>
        <v>180000</v>
      </c>
      <c r="F433" s="157">
        <f>+'Excise Dispatch '!D432</f>
        <v>180000</v>
      </c>
      <c r="G433" s="157">
        <f>+'PACK Prod'!D432</f>
        <v>180000</v>
      </c>
      <c r="H433" s="157">
        <f t="shared" si="43"/>
        <v>0</v>
      </c>
      <c r="I433" s="158">
        <f t="shared" si="44"/>
        <v>0</v>
      </c>
      <c r="J433" s="157">
        <f t="shared" si="46"/>
        <v>0</v>
      </c>
      <c r="K433" s="160">
        <v>180000</v>
      </c>
      <c r="L433" s="159">
        <f t="shared" si="45"/>
        <v>0</v>
      </c>
      <c r="M433" s="157">
        <v>0</v>
      </c>
    </row>
    <row r="434" spans="1:13" s="67" customFormat="1" ht="15.75" customHeight="1" x14ac:dyDescent="0.25">
      <c r="A434" s="48">
        <v>97</v>
      </c>
      <c r="B434" s="166" t="s">
        <v>314</v>
      </c>
      <c r="C434" s="166" t="s">
        <v>313</v>
      </c>
      <c r="D434" s="157">
        <v>0</v>
      </c>
      <c r="E434" s="157">
        <f>+'SMT KIT Rcvd '!D433</f>
        <v>0</v>
      </c>
      <c r="F434" s="157">
        <f>+'Excise Dispatch '!D433</f>
        <v>0</v>
      </c>
      <c r="G434" s="157">
        <f>+'PACK Prod'!D433</f>
        <v>0</v>
      </c>
      <c r="H434" s="157">
        <f t="shared" si="43"/>
        <v>0</v>
      </c>
      <c r="I434" s="158">
        <f t="shared" si="44"/>
        <v>0</v>
      </c>
      <c r="J434" s="157">
        <f t="shared" si="46"/>
        <v>0</v>
      </c>
      <c r="K434" s="160">
        <v>0</v>
      </c>
      <c r="L434" s="159">
        <f t="shared" si="45"/>
        <v>0</v>
      </c>
      <c r="M434" s="157">
        <v>0</v>
      </c>
    </row>
    <row r="435" spans="1:13" s="67" customFormat="1" ht="15.75" customHeight="1" x14ac:dyDescent="0.25">
      <c r="A435" s="48">
        <v>98</v>
      </c>
      <c r="B435" s="166" t="s">
        <v>160</v>
      </c>
      <c r="C435" s="166" t="s">
        <v>116</v>
      </c>
      <c r="D435" s="157">
        <v>0</v>
      </c>
      <c r="E435" s="157">
        <f>+'SMT KIT Rcvd '!D434</f>
        <v>0</v>
      </c>
      <c r="F435" s="157">
        <f>+'Excise Dispatch '!D434</f>
        <v>0</v>
      </c>
      <c r="G435" s="157">
        <f>+'PACK Prod'!D434</f>
        <v>0</v>
      </c>
      <c r="H435" s="157">
        <f t="shared" si="43"/>
        <v>0</v>
      </c>
      <c r="I435" s="158">
        <f t="shared" si="44"/>
        <v>0</v>
      </c>
      <c r="J435" s="157">
        <f t="shared" si="46"/>
        <v>0</v>
      </c>
      <c r="K435" s="160">
        <v>0</v>
      </c>
      <c r="L435" s="159">
        <f t="shared" si="45"/>
        <v>0</v>
      </c>
      <c r="M435" s="157">
        <v>0</v>
      </c>
    </row>
    <row r="436" spans="1:13" s="67" customFormat="1" ht="15.75" customHeight="1" x14ac:dyDescent="0.25">
      <c r="A436" s="48">
        <v>99</v>
      </c>
      <c r="B436" s="166" t="s">
        <v>161</v>
      </c>
      <c r="C436" s="166" t="s">
        <v>117</v>
      </c>
      <c r="D436" s="157">
        <v>0</v>
      </c>
      <c r="E436" s="157">
        <f>+'SMT KIT Rcvd '!D435</f>
        <v>0</v>
      </c>
      <c r="F436" s="157">
        <f>+'Excise Dispatch '!D435</f>
        <v>0</v>
      </c>
      <c r="G436" s="157">
        <f>+'PACK Prod'!D435</f>
        <v>0</v>
      </c>
      <c r="H436" s="157">
        <f t="shared" si="43"/>
        <v>0</v>
      </c>
      <c r="I436" s="158">
        <f t="shared" si="44"/>
        <v>0</v>
      </c>
      <c r="J436" s="157">
        <f t="shared" si="46"/>
        <v>0</v>
      </c>
      <c r="K436" s="160">
        <v>0</v>
      </c>
      <c r="L436" s="159">
        <f t="shared" si="45"/>
        <v>0</v>
      </c>
      <c r="M436" s="157">
        <v>0</v>
      </c>
    </row>
    <row r="437" spans="1:13" s="67" customFormat="1" ht="15.75" customHeight="1" x14ac:dyDescent="0.25">
      <c r="A437" s="48">
        <v>100</v>
      </c>
      <c r="B437" s="166" t="s">
        <v>244</v>
      </c>
      <c r="C437" s="166" t="s">
        <v>243</v>
      </c>
      <c r="D437" s="157">
        <v>0</v>
      </c>
      <c r="E437" s="157">
        <f>+'SMT KIT Rcvd '!D436</f>
        <v>720</v>
      </c>
      <c r="F437" s="157">
        <f>+'Excise Dispatch '!D436</f>
        <v>720</v>
      </c>
      <c r="G437" s="157">
        <f>+'PACK Prod'!D436</f>
        <v>720</v>
      </c>
      <c r="H437" s="157">
        <f t="shared" si="43"/>
        <v>0</v>
      </c>
      <c r="I437" s="158">
        <f t="shared" si="44"/>
        <v>0</v>
      </c>
      <c r="J437" s="157">
        <f t="shared" si="46"/>
        <v>0</v>
      </c>
      <c r="K437" s="160">
        <v>720</v>
      </c>
      <c r="L437" s="159">
        <f t="shared" si="45"/>
        <v>0</v>
      </c>
      <c r="M437" s="157">
        <v>0</v>
      </c>
    </row>
    <row r="438" spans="1:13" s="67" customFormat="1" ht="15.75" customHeight="1" x14ac:dyDescent="0.25">
      <c r="A438" s="48">
        <v>101</v>
      </c>
      <c r="B438" s="166" t="s">
        <v>362</v>
      </c>
      <c r="C438" s="166" t="s">
        <v>361</v>
      </c>
      <c r="D438" s="157">
        <v>0</v>
      </c>
      <c r="E438" s="157">
        <f>+'SMT KIT Rcvd '!D437</f>
        <v>18900</v>
      </c>
      <c r="F438" s="157">
        <f>+'Excise Dispatch '!D437</f>
        <v>18900</v>
      </c>
      <c r="G438" s="157">
        <f>+'PACK Prod'!D437</f>
        <v>18900</v>
      </c>
      <c r="H438" s="157">
        <f t="shared" si="43"/>
        <v>0</v>
      </c>
      <c r="I438" s="158">
        <f t="shared" si="44"/>
        <v>0</v>
      </c>
      <c r="J438" s="157">
        <f t="shared" si="46"/>
        <v>0</v>
      </c>
      <c r="K438" s="160">
        <v>18900</v>
      </c>
      <c r="L438" s="159">
        <f t="shared" si="45"/>
        <v>0</v>
      </c>
      <c r="M438" s="157">
        <v>0</v>
      </c>
    </row>
    <row r="439" spans="1:13" s="67" customFormat="1" ht="15.75" customHeight="1" x14ac:dyDescent="0.25">
      <c r="A439" s="48">
        <v>102</v>
      </c>
      <c r="B439" s="166" t="s">
        <v>334</v>
      </c>
      <c r="C439" s="166" t="s">
        <v>333</v>
      </c>
      <c r="D439" s="157">
        <v>1742</v>
      </c>
      <c r="E439" s="157">
        <f>+'SMT KIT Rcvd '!D438</f>
        <v>17060</v>
      </c>
      <c r="F439" s="157">
        <f>+'Excise Dispatch '!D438</f>
        <v>18802</v>
      </c>
      <c r="G439" s="157">
        <f>+'PACK Prod'!D438</f>
        <v>18802</v>
      </c>
      <c r="H439" s="157">
        <f t="shared" si="43"/>
        <v>0</v>
      </c>
      <c r="I439" s="158">
        <f t="shared" si="44"/>
        <v>0</v>
      </c>
      <c r="J439" s="157">
        <f t="shared" si="46"/>
        <v>0</v>
      </c>
      <c r="K439" s="160">
        <v>17060</v>
      </c>
      <c r="L439" s="159">
        <f t="shared" si="45"/>
        <v>-1742</v>
      </c>
      <c r="M439" s="157">
        <v>0</v>
      </c>
    </row>
    <row r="440" spans="1:13" s="67" customFormat="1" ht="15.75" customHeight="1" x14ac:dyDescent="0.25">
      <c r="A440" s="48">
        <v>103</v>
      </c>
      <c r="B440" s="166" t="s">
        <v>498</v>
      </c>
      <c r="C440" s="166" t="s">
        <v>497</v>
      </c>
      <c r="D440" s="157">
        <v>0</v>
      </c>
      <c r="E440" s="157">
        <f>+'SMT KIT Rcvd '!D439</f>
        <v>23000</v>
      </c>
      <c r="F440" s="157">
        <f>+'Excise Dispatch '!D439</f>
        <v>23000</v>
      </c>
      <c r="G440" s="157">
        <f>+'PACK Prod'!D439</f>
        <v>23000</v>
      </c>
      <c r="H440" s="157">
        <f t="shared" si="43"/>
        <v>0</v>
      </c>
      <c r="I440" s="158">
        <f t="shared" si="44"/>
        <v>0</v>
      </c>
      <c r="J440" s="157">
        <f t="shared" si="46"/>
        <v>0</v>
      </c>
      <c r="K440" s="160">
        <v>23000</v>
      </c>
      <c r="L440" s="159">
        <f t="shared" si="45"/>
        <v>0</v>
      </c>
      <c r="M440" s="157">
        <v>0</v>
      </c>
    </row>
    <row r="441" spans="1:13" s="67" customFormat="1" ht="15.75" customHeight="1" x14ac:dyDescent="0.25">
      <c r="A441" s="48">
        <v>104</v>
      </c>
      <c r="B441" s="166" t="s">
        <v>500</v>
      </c>
      <c r="C441" s="166" t="s">
        <v>499</v>
      </c>
      <c r="D441" s="157">
        <v>0</v>
      </c>
      <c r="E441" s="157">
        <f>+'SMT KIT Rcvd '!D440</f>
        <v>8000</v>
      </c>
      <c r="F441" s="157">
        <f>+'Excise Dispatch '!D440</f>
        <v>8000</v>
      </c>
      <c r="G441" s="157">
        <f>+'PACK Prod'!D440</f>
        <v>8000</v>
      </c>
      <c r="H441" s="157">
        <f t="shared" si="43"/>
        <v>0</v>
      </c>
      <c r="I441" s="158">
        <f t="shared" si="44"/>
        <v>0</v>
      </c>
      <c r="J441" s="157">
        <f t="shared" si="46"/>
        <v>0</v>
      </c>
      <c r="K441" s="160">
        <v>8000</v>
      </c>
      <c r="L441" s="159">
        <f t="shared" si="45"/>
        <v>0</v>
      </c>
      <c r="M441" s="157">
        <v>0</v>
      </c>
    </row>
    <row r="442" spans="1:13" s="67" customFormat="1" ht="15.75" customHeight="1" x14ac:dyDescent="0.25">
      <c r="A442" s="48">
        <v>105</v>
      </c>
      <c r="B442" s="166" t="s">
        <v>503</v>
      </c>
      <c r="C442" s="166" t="s">
        <v>501</v>
      </c>
      <c r="D442" s="157">
        <v>0</v>
      </c>
      <c r="E442" s="157">
        <f>+'SMT KIT Rcvd '!D441</f>
        <v>0</v>
      </c>
      <c r="F442" s="157">
        <f>+'Excise Dispatch '!D441</f>
        <v>0</v>
      </c>
      <c r="G442" s="157">
        <f>+'PACK Prod'!D441</f>
        <v>0</v>
      </c>
      <c r="H442" s="157">
        <f t="shared" si="43"/>
        <v>0</v>
      </c>
      <c r="I442" s="158">
        <f t="shared" si="44"/>
        <v>0</v>
      </c>
      <c r="J442" s="157">
        <f t="shared" si="46"/>
        <v>0</v>
      </c>
      <c r="K442" s="160">
        <v>0</v>
      </c>
      <c r="L442" s="159">
        <f t="shared" si="45"/>
        <v>0</v>
      </c>
      <c r="M442" s="157">
        <v>0</v>
      </c>
    </row>
    <row r="443" spans="1:13" s="67" customFormat="1" ht="15.75" customHeight="1" x14ac:dyDescent="0.25">
      <c r="A443" s="48">
        <v>106</v>
      </c>
      <c r="B443" s="166" t="s">
        <v>504</v>
      </c>
      <c r="C443" s="166" t="s">
        <v>502</v>
      </c>
      <c r="D443" s="157">
        <v>0</v>
      </c>
      <c r="E443" s="157">
        <f>+'SMT KIT Rcvd '!D442</f>
        <v>0</v>
      </c>
      <c r="F443" s="157">
        <f>+'Excise Dispatch '!D442</f>
        <v>0</v>
      </c>
      <c r="G443" s="157">
        <f>+'PACK Prod'!D442</f>
        <v>0</v>
      </c>
      <c r="H443" s="157">
        <f t="shared" si="43"/>
        <v>0</v>
      </c>
      <c r="I443" s="158">
        <f t="shared" si="44"/>
        <v>0</v>
      </c>
      <c r="J443" s="157">
        <f t="shared" si="46"/>
        <v>0</v>
      </c>
      <c r="K443" s="160">
        <v>0</v>
      </c>
      <c r="L443" s="159">
        <f t="shared" si="45"/>
        <v>0</v>
      </c>
      <c r="M443" s="157">
        <v>0</v>
      </c>
    </row>
    <row r="444" spans="1:13" s="67" customFormat="1" ht="15.75" customHeight="1" x14ac:dyDescent="0.25">
      <c r="A444" s="48">
        <v>107</v>
      </c>
      <c r="B444" s="166" t="s">
        <v>506</v>
      </c>
      <c r="C444" s="166" t="s">
        <v>505</v>
      </c>
      <c r="D444" s="157">
        <v>0</v>
      </c>
      <c r="E444" s="157">
        <f>+'SMT KIT Rcvd '!D443</f>
        <v>5300</v>
      </c>
      <c r="F444" s="157">
        <f>+'Excise Dispatch '!D443</f>
        <v>5300</v>
      </c>
      <c r="G444" s="157">
        <f>+'PACK Prod'!D443</f>
        <v>5300</v>
      </c>
      <c r="H444" s="157">
        <f t="shared" si="43"/>
        <v>0</v>
      </c>
      <c r="I444" s="158">
        <f t="shared" si="44"/>
        <v>0</v>
      </c>
      <c r="J444" s="157">
        <f t="shared" si="46"/>
        <v>0</v>
      </c>
      <c r="K444" s="160">
        <v>5300</v>
      </c>
      <c r="L444" s="159">
        <f t="shared" si="45"/>
        <v>0</v>
      </c>
      <c r="M444" s="157">
        <v>0</v>
      </c>
    </row>
    <row r="445" spans="1:13" s="67" customFormat="1" ht="15.75" customHeight="1" x14ac:dyDescent="0.25">
      <c r="A445" s="48">
        <v>108</v>
      </c>
      <c r="B445" s="166" t="s">
        <v>252</v>
      </c>
      <c r="C445" s="166" t="s">
        <v>251</v>
      </c>
      <c r="D445" s="157">
        <v>0</v>
      </c>
      <c r="E445" s="157">
        <f>+'SMT KIT Rcvd '!D444</f>
        <v>34000</v>
      </c>
      <c r="F445" s="157">
        <f>+'Excise Dispatch '!D444</f>
        <v>34000</v>
      </c>
      <c r="G445" s="157">
        <f>+'PACK Prod'!D444</f>
        <v>34000</v>
      </c>
      <c r="H445" s="157">
        <f t="shared" si="43"/>
        <v>0</v>
      </c>
      <c r="I445" s="158">
        <f t="shared" si="44"/>
        <v>0</v>
      </c>
      <c r="J445" s="157">
        <f t="shared" si="46"/>
        <v>0</v>
      </c>
      <c r="K445" s="160">
        <v>34000</v>
      </c>
      <c r="L445" s="159">
        <f t="shared" si="45"/>
        <v>0</v>
      </c>
      <c r="M445" s="157">
        <v>0</v>
      </c>
    </row>
    <row r="446" spans="1:13" s="67" customFormat="1" ht="15.75" customHeight="1" x14ac:dyDescent="0.25">
      <c r="A446" s="48">
        <v>109</v>
      </c>
      <c r="B446" s="166" t="s">
        <v>450</v>
      </c>
      <c r="C446" s="166" t="s">
        <v>453</v>
      </c>
      <c r="D446" s="157">
        <v>0</v>
      </c>
      <c r="E446" s="157">
        <f>+'SMT KIT Rcvd '!D445</f>
        <v>0</v>
      </c>
      <c r="F446" s="157">
        <f>+'Excise Dispatch '!D445</f>
        <v>0</v>
      </c>
      <c r="G446" s="157">
        <f>+'PACK Prod'!D445</f>
        <v>0</v>
      </c>
      <c r="H446" s="157">
        <f t="shared" si="43"/>
        <v>0</v>
      </c>
      <c r="I446" s="158">
        <f t="shared" si="44"/>
        <v>0</v>
      </c>
      <c r="J446" s="157">
        <f t="shared" si="46"/>
        <v>0</v>
      </c>
      <c r="K446" s="160">
        <v>0</v>
      </c>
      <c r="L446" s="159">
        <f t="shared" si="45"/>
        <v>0</v>
      </c>
      <c r="M446" s="157">
        <v>0</v>
      </c>
    </row>
    <row r="447" spans="1:13" s="67" customFormat="1" ht="15.75" customHeight="1" x14ac:dyDescent="0.25">
      <c r="A447" s="48">
        <v>110</v>
      </c>
      <c r="B447" s="166" t="s">
        <v>451</v>
      </c>
      <c r="C447" s="166" t="s">
        <v>454</v>
      </c>
      <c r="D447" s="157">
        <v>0</v>
      </c>
      <c r="E447" s="157">
        <f>+'SMT KIT Rcvd '!D446</f>
        <v>0</v>
      </c>
      <c r="F447" s="157">
        <f>+'Excise Dispatch '!D446</f>
        <v>0</v>
      </c>
      <c r="G447" s="157">
        <f>+'PACK Prod'!D446</f>
        <v>0</v>
      </c>
      <c r="H447" s="157">
        <f t="shared" si="43"/>
        <v>0</v>
      </c>
      <c r="I447" s="158">
        <f t="shared" si="44"/>
        <v>0</v>
      </c>
      <c r="J447" s="157">
        <f t="shared" si="46"/>
        <v>0</v>
      </c>
      <c r="K447" s="160">
        <v>0</v>
      </c>
      <c r="L447" s="159">
        <f t="shared" si="45"/>
        <v>0</v>
      </c>
      <c r="M447" s="157">
        <v>0</v>
      </c>
    </row>
    <row r="448" spans="1:13" s="67" customFormat="1" ht="15.75" customHeight="1" x14ac:dyDescent="0.25">
      <c r="A448" s="48">
        <v>111</v>
      </c>
      <c r="B448" s="166" t="s">
        <v>452</v>
      </c>
      <c r="C448" s="166" t="s">
        <v>455</v>
      </c>
      <c r="D448" s="157">
        <v>0</v>
      </c>
      <c r="E448" s="157">
        <f>+'SMT KIT Rcvd '!D447</f>
        <v>0</v>
      </c>
      <c r="F448" s="157">
        <f>+'Excise Dispatch '!D447</f>
        <v>0</v>
      </c>
      <c r="G448" s="157">
        <f>+'PACK Prod'!D447</f>
        <v>0</v>
      </c>
      <c r="H448" s="157">
        <f t="shared" si="43"/>
        <v>0</v>
      </c>
      <c r="I448" s="158">
        <f t="shared" si="44"/>
        <v>0</v>
      </c>
      <c r="J448" s="157">
        <f t="shared" si="46"/>
        <v>0</v>
      </c>
      <c r="K448" s="160">
        <v>0</v>
      </c>
      <c r="L448" s="159">
        <f t="shared" si="45"/>
        <v>0</v>
      </c>
      <c r="M448" s="157">
        <v>0</v>
      </c>
    </row>
    <row r="449" spans="1:13" s="67" customFormat="1" ht="15.75" customHeight="1" x14ac:dyDescent="0.25">
      <c r="A449" s="48">
        <v>112</v>
      </c>
      <c r="B449" s="166" t="s">
        <v>456</v>
      </c>
      <c r="C449" s="166" t="s">
        <v>457</v>
      </c>
      <c r="D449" s="157">
        <v>0</v>
      </c>
      <c r="E449" s="157">
        <f>+'SMT KIT Rcvd '!D448</f>
        <v>648000</v>
      </c>
      <c r="F449" s="157">
        <f>+'Excise Dispatch '!D448</f>
        <v>648000</v>
      </c>
      <c r="G449" s="157">
        <f>+'PACK Prod'!D448</f>
        <v>648000</v>
      </c>
      <c r="H449" s="157">
        <f t="shared" si="43"/>
        <v>0</v>
      </c>
      <c r="I449" s="158">
        <f t="shared" si="44"/>
        <v>0</v>
      </c>
      <c r="J449" s="157">
        <f t="shared" si="46"/>
        <v>0</v>
      </c>
      <c r="K449" s="160">
        <v>648000</v>
      </c>
      <c r="L449" s="159">
        <f t="shared" si="45"/>
        <v>0</v>
      </c>
      <c r="M449" s="157">
        <v>0</v>
      </c>
    </row>
    <row r="450" spans="1:13" s="67" customFormat="1" ht="15.75" customHeight="1" x14ac:dyDescent="0.25">
      <c r="A450" s="48">
        <v>113</v>
      </c>
      <c r="B450" s="166" t="s">
        <v>364</v>
      </c>
      <c r="C450" s="166" t="s">
        <v>363</v>
      </c>
      <c r="D450" s="157">
        <v>2708</v>
      </c>
      <c r="E450" s="157">
        <f>+'SMT KIT Rcvd '!D449</f>
        <v>10000</v>
      </c>
      <c r="F450" s="157">
        <f>+'Excise Dispatch '!D449</f>
        <v>12708</v>
      </c>
      <c r="G450" s="157">
        <f>+'PACK Prod'!D449</f>
        <v>12708</v>
      </c>
      <c r="H450" s="157">
        <f t="shared" si="43"/>
        <v>0</v>
      </c>
      <c r="I450" s="158">
        <f t="shared" si="44"/>
        <v>0</v>
      </c>
      <c r="J450" s="157">
        <f t="shared" si="46"/>
        <v>0</v>
      </c>
      <c r="K450" s="160">
        <v>10000</v>
      </c>
      <c r="L450" s="159">
        <f t="shared" si="45"/>
        <v>-2708</v>
      </c>
      <c r="M450" s="157">
        <v>0</v>
      </c>
    </row>
    <row r="451" spans="1:13" s="67" customFormat="1" ht="15.75" customHeight="1" x14ac:dyDescent="0.25">
      <c r="A451" s="48">
        <v>114</v>
      </c>
      <c r="B451" s="166" t="s">
        <v>493</v>
      </c>
      <c r="C451" s="166" t="s">
        <v>492</v>
      </c>
      <c r="D451" s="157">
        <v>0</v>
      </c>
      <c r="E451" s="157">
        <f>+'SMT KIT Rcvd '!D450</f>
        <v>0</v>
      </c>
      <c r="F451" s="157">
        <f>+'Excise Dispatch '!D450</f>
        <v>0</v>
      </c>
      <c r="G451" s="157">
        <f>+'PACK Prod'!D450</f>
        <v>0</v>
      </c>
      <c r="H451" s="157">
        <f t="shared" si="43"/>
        <v>0</v>
      </c>
      <c r="I451" s="158">
        <f t="shared" si="44"/>
        <v>0</v>
      </c>
      <c r="J451" s="157">
        <f t="shared" si="46"/>
        <v>0</v>
      </c>
      <c r="K451" s="160">
        <v>0</v>
      </c>
      <c r="L451" s="159">
        <f t="shared" si="45"/>
        <v>0</v>
      </c>
      <c r="M451" s="157">
        <v>0</v>
      </c>
    </row>
    <row r="452" spans="1:13" s="67" customFormat="1" ht="15.75" customHeight="1" x14ac:dyDescent="0.25">
      <c r="A452" s="48">
        <v>115</v>
      </c>
      <c r="B452" s="166" t="s">
        <v>625</v>
      </c>
      <c r="C452" s="166" t="s">
        <v>615</v>
      </c>
      <c r="D452" s="157">
        <v>0</v>
      </c>
      <c r="E452" s="157">
        <f>+'SMT KIT Rcvd '!D451</f>
        <v>74000</v>
      </c>
      <c r="F452" s="157">
        <f>+'Excise Dispatch '!D451</f>
        <v>74000</v>
      </c>
      <c r="G452" s="157">
        <f>+'PACK Prod'!D451</f>
        <v>74000</v>
      </c>
      <c r="H452" s="157">
        <f t="shared" si="43"/>
        <v>0</v>
      </c>
      <c r="I452" s="158">
        <f t="shared" si="44"/>
        <v>0</v>
      </c>
      <c r="J452" s="157">
        <f t="shared" si="46"/>
        <v>0</v>
      </c>
      <c r="K452" s="160">
        <v>74000</v>
      </c>
      <c r="L452" s="159">
        <f t="shared" si="45"/>
        <v>0</v>
      </c>
      <c r="M452" s="157">
        <v>0</v>
      </c>
    </row>
    <row r="453" spans="1:13" s="67" customFormat="1" ht="15.75" customHeight="1" x14ac:dyDescent="0.25">
      <c r="A453" s="48">
        <v>116</v>
      </c>
      <c r="B453" s="166" t="s">
        <v>626</v>
      </c>
      <c r="C453" s="166" t="s">
        <v>616</v>
      </c>
      <c r="D453" s="157">
        <v>0</v>
      </c>
      <c r="E453" s="157">
        <f>+'SMT KIT Rcvd '!D452</f>
        <v>0</v>
      </c>
      <c r="F453" s="157">
        <f>+'Excise Dispatch '!D452</f>
        <v>0</v>
      </c>
      <c r="G453" s="157">
        <f>+'PACK Prod'!D452</f>
        <v>0</v>
      </c>
      <c r="H453" s="157">
        <f t="shared" si="43"/>
        <v>0</v>
      </c>
      <c r="I453" s="158">
        <f t="shared" si="44"/>
        <v>0</v>
      </c>
      <c r="J453" s="157">
        <f t="shared" si="46"/>
        <v>0</v>
      </c>
      <c r="K453" s="160">
        <v>0</v>
      </c>
      <c r="L453" s="159">
        <f t="shared" si="45"/>
        <v>0</v>
      </c>
      <c r="M453" s="157">
        <v>0</v>
      </c>
    </row>
    <row r="454" spans="1:13" s="67" customFormat="1" ht="15.75" customHeight="1" x14ac:dyDescent="0.25">
      <c r="A454" s="48">
        <v>117</v>
      </c>
      <c r="B454" s="166" t="s">
        <v>627</v>
      </c>
      <c r="C454" s="166" t="s">
        <v>617</v>
      </c>
      <c r="D454" s="157">
        <v>0</v>
      </c>
      <c r="E454" s="157">
        <f>+'SMT KIT Rcvd '!D453</f>
        <v>3500</v>
      </c>
      <c r="F454" s="157">
        <f>+'Excise Dispatch '!D453</f>
        <v>3500</v>
      </c>
      <c r="G454" s="157">
        <f>+'PACK Prod'!D453</f>
        <v>3500</v>
      </c>
      <c r="H454" s="157">
        <f t="shared" si="43"/>
        <v>0</v>
      </c>
      <c r="I454" s="158">
        <f t="shared" si="44"/>
        <v>0</v>
      </c>
      <c r="J454" s="157">
        <f t="shared" si="46"/>
        <v>0</v>
      </c>
      <c r="K454" s="160">
        <v>3500</v>
      </c>
      <c r="L454" s="159">
        <f t="shared" si="45"/>
        <v>0</v>
      </c>
      <c r="M454" s="157">
        <v>0</v>
      </c>
    </row>
    <row r="455" spans="1:13" s="67" customFormat="1" ht="15.75" customHeight="1" x14ac:dyDescent="0.25">
      <c r="A455" s="48">
        <v>118</v>
      </c>
      <c r="B455" s="166" t="s">
        <v>628</v>
      </c>
      <c r="C455" s="166" t="s">
        <v>618</v>
      </c>
      <c r="D455" s="157">
        <v>0</v>
      </c>
      <c r="E455" s="157">
        <f>+'SMT KIT Rcvd '!D454</f>
        <v>1000</v>
      </c>
      <c r="F455" s="157">
        <f>+'Excise Dispatch '!D454</f>
        <v>1000</v>
      </c>
      <c r="G455" s="157">
        <f>+'PACK Prod'!D454</f>
        <v>1000</v>
      </c>
      <c r="H455" s="157">
        <f t="shared" si="43"/>
        <v>0</v>
      </c>
      <c r="I455" s="158">
        <f t="shared" si="44"/>
        <v>0</v>
      </c>
      <c r="J455" s="157">
        <f t="shared" si="46"/>
        <v>0</v>
      </c>
      <c r="K455" s="160">
        <v>1000</v>
      </c>
      <c r="L455" s="159">
        <f t="shared" si="45"/>
        <v>0</v>
      </c>
      <c r="M455" s="157">
        <v>0</v>
      </c>
    </row>
    <row r="456" spans="1:13" s="67" customFormat="1" ht="15.75" customHeight="1" x14ac:dyDescent="0.25">
      <c r="A456" s="48">
        <v>119</v>
      </c>
      <c r="B456" s="166" t="s">
        <v>629</v>
      </c>
      <c r="C456" s="166" t="s">
        <v>619</v>
      </c>
      <c r="D456" s="157">
        <v>0</v>
      </c>
      <c r="E456" s="157">
        <f>+'SMT KIT Rcvd '!D455</f>
        <v>1950</v>
      </c>
      <c r="F456" s="157">
        <f>+'Excise Dispatch '!D455</f>
        <v>1950</v>
      </c>
      <c r="G456" s="157">
        <f>+'PACK Prod'!D455</f>
        <v>1950</v>
      </c>
      <c r="H456" s="157">
        <f t="shared" si="43"/>
        <v>0</v>
      </c>
      <c r="I456" s="158">
        <f t="shared" si="44"/>
        <v>0</v>
      </c>
      <c r="J456" s="157">
        <f t="shared" si="46"/>
        <v>0</v>
      </c>
      <c r="K456" s="160">
        <v>1950</v>
      </c>
      <c r="L456" s="159">
        <f t="shared" si="45"/>
        <v>0</v>
      </c>
      <c r="M456" s="157">
        <v>0</v>
      </c>
    </row>
    <row r="457" spans="1:13" s="67" customFormat="1" ht="15.75" customHeight="1" x14ac:dyDescent="0.25">
      <c r="A457" s="48">
        <v>120</v>
      </c>
      <c r="B457" s="166" t="s">
        <v>630</v>
      </c>
      <c r="C457" s="166" t="s">
        <v>620</v>
      </c>
      <c r="D457" s="157">
        <v>0</v>
      </c>
      <c r="E457" s="157">
        <f>+'SMT KIT Rcvd '!D456</f>
        <v>9600</v>
      </c>
      <c r="F457" s="157">
        <f>+'Excise Dispatch '!D456</f>
        <v>9600</v>
      </c>
      <c r="G457" s="157">
        <f>+'PACK Prod'!D456</f>
        <v>9600</v>
      </c>
      <c r="H457" s="157">
        <f t="shared" si="43"/>
        <v>0</v>
      </c>
      <c r="I457" s="158">
        <f t="shared" si="44"/>
        <v>0</v>
      </c>
      <c r="J457" s="157">
        <f t="shared" si="46"/>
        <v>0</v>
      </c>
      <c r="K457" s="160">
        <v>9600</v>
      </c>
      <c r="L457" s="159">
        <f t="shared" si="45"/>
        <v>0</v>
      </c>
      <c r="M457" s="157">
        <v>0</v>
      </c>
    </row>
    <row r="458" spans="1:13" s="67" customFormat="1" ht="15.75" customHeight="1" x14ac:dyDescent="0.25">
      <c r="A458" s="48">
        <v>121</v>
      </c>
      <c r="B458" s="166" t="s">
        <v>631</v>
      </c>
      <c r="C458" s="166" t="s">
        <v>621</v>
      </c>
      <c r="D458" s="157">
        <v>0</v>
      </c>
      <c r="E458" s="157">
        <f>+'SMT KIT Rcvd '!D457</f>
        <v>486</v>
      </c>
      <c r="F458" s="157">
        <f>+'Excise Dispatch '!D457</f>
        <v>486</v>
      </c>
      <c r="G458" s="157">
        <f>+'PACK Prod'!D457</f>
        <v>486</v>
      </c>
      <c r="H458" s="157">
        <f t="shared" si="43"/>
        <v>0</v>
      </c>
      <c r="I458" s="158">
        <f t="shared" si="44"/>
        <v>0</v>
      </c>
      <c r="J458" s="157">
        <f t="shared" si="46"/>
        <v>0</v>
      </c>
      <c r="K458" s="160">
        <v>486</v>
      </c>
      <c r="L458" s="159">
        <f t="shared" si="45"/>
        <v>0</v>
      </c>
      <c r="M458" s="157">
        <v>0</v>
      </c>
    </row>
    <row r="459" spans="1:13" s="67" customFormat="1" ht="15.75" customHeight="1" x14ac:dyDescent="0.25">
      <c r="A459" s="48">
        <v>122</v>
      </c>
      <c r="B459" s="166" t="s">
        <v>632</v>
      </c>
      <c r="C459" s="166" t="s">
        <v>622</v>
      </c>
      <c r="D459" s="157">
        <v>0</v>
      </c>
      <c r="E459" s="157">
        <f>+'SMT KIT Rcvd '!D458</f>
        <v>4000</v>
      </c>
      <c r="F459" s="157">
        <f>+'Excise Dispatch '!D458</f>
        <v>4000</v>
      </c>
      <c r="G459" s="157">
        <f>+'PACK Prod'!D458</f>
        <v>4000</v>
      </c>
      <c r="H459" s="157">
        <f t="shared" si="43"/>
        <v>0</v>
      </c>
      <c r="I459" s="158">
        <f t="shared" si="44"/>
        <v>0</v>
      </c>
      <c r="J459" s="157">
        <f t="shared" si="46"/>
        <v>0</v>
      </c>
      <c r="K459" s="160">
        <v>4000</v>
      </c>
      <c r="L459" s="159">
        <f t="shared" si="45"/>
        <v>0</v>
      </c>
      <c r="M459" s="157">
        <v>0</v>
      </c>
    </row>
    <row r="460" spans="1:13" s="67" customFormat="1" ht="15.75" customHeight="1" x14ac:dyDescent="0.25">
      <c r="A460" s="48">
        <v>123</v>
      </c>
      <c r="B460" s="166" t="s">
        <v>633</v>
      </c>
      <c r="C460" s="166" t="s">
        <v>623</v>
      </c>
      <c r="D460" s="157">
        <v>0</v>
      </c>
      <c r="E460" s="157">
        <f>+'SMT KIT Rcvd '!D459</f>
        <v>31849</v>
      </c>
      <c r="F460" s="157">
        <f>+'Excise Dispatch '!D459</f>
        <v>31849</v>
      </c>
      <c r="G460" s="157">
        <f>+'PACK Prod'!D459</f>
        <v>31849</v>
      </c>
      <c r="H460" s="157">
        <f t="shared" si="43"/>
        <v>0</v>
      </c>
      <c r="I460" s="158">
        <f t="shared" si="44"/>
        <v>0</v>
      </c>
      <c r="J460" s="157">
        <f t="shared" si="46"/>
        <v>0</v>
      </c>
      <c r="K460" s="160">
        <v>31849</v>
      </c>
      <c r="L460" s="159">
        <f t="shared" si="45"/>
        <v>0</v>
      </c>
      <c r="M460" s="157">
        <v>0</v>
      </c>
    </row>
    <row r="461" spans="1:13" s="67" customFormat="1" ht="15.75" customHeight="1" x14ac:dyDescent="0.25">
      <c r="A461" s="48">
        <v>124</v>
      </c>
      <c r="B461" s="166" t="s">
        <v>634</v>
      </c>
      <c r="C461" s="166" t="s">
        <v>624</v>
      </c>
      <c r="D461" s="157">
        <v>0</v>
      </c>
      <c r="E461" s="157">
        <f>+'SMT KIT Rcvd '!D460</f>
        <v>5000</v>
      </c>
      <c r="F461" s="157">
        <f>+'Excise Dispatch '!D460</f>
        <v>5000</v>
      </c>
      <c r="G461" s="157">
        <f>+'PACK Prod'!D460</f>
        <v>5000</v>
      </c>
      <c r="H461" s="157">
        <f t="shared" si="43"/>
        <v>0</v>
      </c>
      <c r="I461" s="158">
        <f t="shared" si="44"/>
        <v>0</v>
      </c>
      <c r="J461" s="157">
        <f t="shared" si="46"/>
        <v>0</v>
      </c>
      <c r="K461" s="160">
        <v>5000</v>
      </c>
      <c r="L461" s="159">
        <f t="shared" si="45"/>
        <v>0</v>
      </c>
      <c r="M461" s="157">
        <v>0</v>
      </c>
    </row>
    <row r="462" spans="1:13" s="67" customFormat="1" ht="15.75" customHeight="1" x14ac:dyDescent="0.25">
      <c r="A462" s="48">
        <v>125</v>
      </c>
      <c r="B462" s="166" t="s">
        <v>510</v>
      </c>
      <c r="C462" s="166" t="s">
        <v>509</v>
      </c>
      <c r="D462" s="157">
        <v>8</v>
      </c>
      <c r="E462" s="157">
        <f>+'SMT KIT Rcvd '!D461</f>
        <v>3110</v>
      </c>
      <c r="F462" s="157">
        <f>+'Excise Dispatch '!D461</f>
        <v>3118</v>
      </c>
      <c r="G462" s="157">
        <f>+'PACK Prod'!D461</f>
        <v>3118</v>
      </c>
      <c r="H462" s="157">
        <f t="shared" si="43"/>
        <v>0</v>
      </c>
      <c r="I462" s="158">
        <f t="shared" si="44"/>
        <v>0</v>
      </c>
      <c r="J462" s="157">
        <f t="shared" si="46"/>
        <v>0</v>
      </c>
      <c r="K462" s="160">
        <v>3110</v>
      </c>
      <c r="L462" s="159">
        <f t="shared" si="45"/>
        <v>-8</v>
      </c>
      <c r="M462" s="157">
        <v>0</v>
      </c>
    </row>
    <row r="463" spans="1:13" s="67" customFormat="1" ht="15.75" customHeight="1" x14ac:dyDescent="0.25">
      <c r="A463" s="48">
        <v>126</v>
      </c>
      <c r="B463" s="166" t="s">
        <v>637</v>
      </c>
      <c r="C463" s="166" t="s">
        <v>635</v>
      </c>
      <c r="D463" s="157">
        <v>0</v>
      </c>
      <c r="E463" s="157">
        <f>+'SMT KIT Rcvd '!D462</f>
        <v>60000</v>
      </c>
      <c r="F463" s="157">
        <f>+'Excise Dispatch '!D462</f>
        <v>60000</v>
      </c>
      <c r="G463" s="157">
        <f>+'PACK Prod'!D462</f>
        <v>60000</v>
      </c>
      <c r="H463" s="157">
        <f t="shared" si="43"/>
        <v>0</v>
      </c>
      <c r="I463" s="158">
        <f t="shared" si="44"/>
        <v>0</v>
      </c>
      <c r="J463" s="157">
        <f t="shared" si="46"/>
        <v>0</v>
      </c>
      <c r="K463" s="160">
        <v>60000</v>
      </c>
      <c r="L463" s="159">
        <f t="shared" si="45"/>
        <v>0</v>
      </c>
      <c r="M463" s="157">
        <v>0</v>
      </c>
    </row>
    <row r="464" spans="1:13" s="67" customFormat="1" ht="15.75" customHeight="1" x14ac:dyDescent="0.25">
      <c r="A464" s="48">
        <v>127</v>
      </c>
      <c r="B464" s="176" t="s">
        <v>1169</v>
      </c>
      <c r="C464" s="176" t="s">
        <v>1168</v>
      </c>
      <c r="D464" s="157">
        <v>0</v>
      </c>
      <c r="E464" s="157">
        <f>+'SMT KIT Rcvd '!D463</f>
        <v>11000</v>
      </c>
      <c r="F464" s="157">
        <f>+'Excise Dispatch '!D463</f>
        <v>11000</v>
      </c>
      <c r="G464" s="157">
        <f>+'PACK Prod'!D463</f>
        <v>11000</v>
      </c>
      <c r="H464" s="157">
        <f t="shared" si="43"/>
        <v>0</v>
      </c>
      <c r="I464" s="158">
        <f t="shared" si="44"/>
        <v>0</v>
      </c>
      <c r="J464" s="157">
        <f t="shared" si="46"/>
        <v>0</v>
      </c>
      <c r="K464" s="160">
        <v>11000</v>
      </c>
      <c r="L464" s="159">
        <f t="shared" si="45"/>
        <v>0</v>
      </c>
      <c r="M464" s="157">
        <v>0</v>
      </c>
    </row>
    <row r="465" spans="1:13" s="67" customFormat="1" ht="15.75" customHeight="1" x14ac:dyDescent="0.25">
      <c r="A465" s="48">
        <v>128</v>
      </c>
      <c r="B465" s="176" t="s">
        <v>1171</v>
      </c>
      <c r="C465" s="176" t="s">
        <v>1170</v>
      </c>
      <c r="D465" s="157">
        <v>0</v>
      </c>
      <c r="E465" s="157">
        <f>+'SMT KIT Rcvd '!D464</f>
        <v>800</v>
      </c>
      <c r="F465" s="157">
        <f>+'Excise Dispatch '!D464</f>
        <v>800</v>
      </c>
      <c r="G465" s="157">
        <f>+'PACK Prod'!D464</f>
        <v>800</v>
      </c>
      <c r="H465" s="157">
        <f t="shared" si="43"/>
        <v>0</v>
      </c>
      <c r="I465" s="158">
        <f t="shared" si="44"/>
        <v>0</v>
      </c>
      <c r="J465" s="157">
        <f t="shared" si="46"/>
        <v>0</v>
      </c>
      <c r="K465" s="160">
        <v>800</v>
      </c>
      <c r="L465" s="159">
        <f t="shared" si="45"/>
        <v>0</v>
      </c>
      <c r="M465" s="157">
        <v>0</v>
      </c>
    </row>
    <row r="466" spans="1:13" s="67" customFormat="1" ht="15.75" customHeight="1" x14ac:dyDescent="0.25">
      <c r="A466" s="48">
        <v>129</v>
      </c>
      <c r="B466" s="166" t="s">
        <v>638</v>
      </c>
      <c r="C466" s="166" t="s">
        <v>636</v>
      </c>
      <c r="D466" s="157">
        <v>0</v>
      </c>
      <c r="E466" s="157">
        <f>+'SMT KIT Rcvd '!D465</f>
        <v>950</v>
      </c>
      <c r="F466" s="157">
        <f>+'Excise Dispatch '!D465</f>
        <v>950</v>
      </c>
      <c r="G466" s="157">
        <f>+'PACK Prod'!D465</f>
        <v>950</v>
      </c>
      <c r="H466" s="157">
        <f t="shared" ref="H466:H495" si="47">D466+E466-F466</f>
        <v>0</v>
      </c>
      <c r="I466" s="158">
        <f t="shared" ref="I466:I495" si="48">G466+M466-F466</f>
        <v>0</v>
      </c>
      <c r="J466" s="157">
        <f t="shared" si="46"/>
        <v>0</v>
      </c>
      <c r="K466" s="160">
        <v>950</v>
      </c>
      <c r="L466" s="159">
        <f t="shared" ref="L466:L495" si="49">K466-D466-E466</f>
        <v>0</v>
      </c>
      <c r="M466" s="157">
        <v>0</v>
      </c>
    </row>
    <row r="467" spans="1:13" s="67" customFormat="1" ht="15.75" customHeight="1" x14ac:dyDescent="0.25">
      <c r="A467" s="48">
        <v>130</v>
      </c>
      <c r="B467" s="166" t="s">
        <v>685</v>
      </c>
      <c r="C467" s="166" t="s">
        <v>684</v>
      </c>
      <c r="D467" s="157">
        <v>0</v>
      </c>
      <c r="E467" s="157">
        <f>+'SMT KIT Rcvd '!D466</f>
        <v>12500</v>
      </c>
      <c r="F467" s="157">
        <f>+'Excise Dispatch '!D466</f>
        <v>12500</v>
      </c>
      <c r="G467" s="157">
        <f>+'PACK Prod'!D466</f>
        <v>12500</v>
      </c>
      <c r="H467" s="157">
        <f t="shared" si="47"/>
        <v>0</v>
      </c>
      <c r="I467" s="158">
        <f t="shared" si="48"/>
        <v>0</v>
      </c>
      <c r="J467" s="157">
        <f t="shared" si="46"/>
        <v>0</v>
      </c>
      <c r="K467" s="160">
        <v>12500</v>
      </c>
      <c r="L467" s="159">
        <f t="shared" si="49"/>
        <v>0</v>
      </c>
      <c r="M467" s="157">
        <v>0</v>
      </c>
    </row>
    <row r="468" spans="1:13" s="67" customFormat="1" ht="15.75" customHeight="1" x14ac:dyDescent="0.25">
      <c r="A468" s="48">
        <v>131</v>
      </c>
      <c r="B468" s="166" t="s">
        <v>512</v>
      </c>
      <c r="C468" s="166" t="s">
        <v>511</v>
      </c>
      <c r="D468" s="157">
        <v>0</v>
      </c>
      <c r="E468" s="157">
        <f>+'SMT KIT Rcvd '!D467</f>
        <v>1750</v>
      </c>
      <c r="F468" s="157">
        <f>+'Excise Dispatch '!D467</f>
        <v>1750</v>
      </c>
      <c r="G468" s="157">
        <f>+'PACK Prod'!D467</f>
        <v>1750</v>
      </c>
      <c r="H468" s="157">
        <f t="shared" si="47"/>
        <v>0</v>
      </c>
      <c r="I468" s="158">
        <f t="shared" si="48"/>
        <v>0</v>
      </c>
      <c r="J468" s="157">
        <f t="shared" si="46"/>
        <v>0</v>
      </c>
      <c r="K468" s="160">
        <v>1750</v>
      </c>
      <c r="L468" s="159">
        <f t="shared" si="49"/>
        <v>0</v>
      </c>
      <c r="M468" s="157">
        <v>0</v>
      </c>
    </row>
    <row r="469" spans="1:13" s="67" customFormat="1" ht="15.75" customHeight="1" x14ac:dyDescent="0.25">
      <c r="A469" s="48">
        <v>132</v>
      </c>
      <c r="B469" s="166" t="s">
        <v>535</v>
      </c>
      <c r="C469" s="166" t="s">
        <v>534</v>
      </c>
      <c r="D469" s="157">
        <v>0</v>
      </c>
      <c r="E469" s="157">
        <f>+'SMT KIT Rcvd '!D468</f>
        <v>8500</v>
      </c>
      <c r="F469" s="157">
        <f>+'Excise Dispatch '!D468</f>
        <v>8500</v>
      </c>
      <c r="G469" s="157">
        <f>+'PACK Prod'!D468</f>
        <v>8500</v>
      </c>
      <c r="H469" s="157">
        <f t="shared" si="47"/>
        <v>0</v>
      </c>
      <c r="I469" s="158">
        <f t="shared" si="48"/>
        <v>0</v>
      </c>
      <c r="J469" s="157">
        <f t="shared" si="46"/>
        <v>0</v>
      </c>
      <c r="K469" s="160">
        <v>8500</v>
      </c>
      <c r="L469" s="159">
        <f t="shared" si="49"/>
        <v>0</v>
      </c>
      <c r="M469" s="157">
        <v>0</v>
      </c>
    </row>
    <row r="470" spans="1:13" s="67" customFormat="1" ht="15.75" customHeight="1" x14ac:dyDescent="0.25">
      <c r="A470" s="48">
        <v>133</v>
      </c>
      <c r="B470" s="166" t="s">
        <v>536</v>
      </c>
      <c r="C470" s="166" t="s">
        <v>537</v>
      </c>
      <c r="D470" s="157">
        <v>0</v>
      </c>
      <c r="E470" s="157">
        <f>+'SMT KIT Rcvd '!D469</f>
        <v>18100</v>
      </c>
      <c r="F470" s="157">
        <f>+'Excise Dispatch '!D469</f>
        <v>18100</v>
      </c>
      <c r="G470" s="157">
        <f>+'PACK Prod'!D469</f>
        <v>18100</v>
      </c>
      <c r="H470" s="157">
        <f t="shared" si="47"/>
        <v>0</v>
      </c>
      <c r="I470" s="158">
        <f t="shared" si="48"/>
        <v>0</v>
      </c>
      <c r="J470" s="157">
        <f t="shared" si="46"/>
        <v>0</v>
      </c>
      <c r="K470" s="160">
        <v>18100</v>
      </c>
      <c r="L470" s="159">
        <f t="shared" si="49"/>
        <v>0</v>
      </c>
      <c r="M470" s="157">
        <v>0</v>
      </c>
    </row>
    <row r="471" spans="1:13" s="67" customFormat="1" ht="15.75" customHeight="1" x14ac:dyDescent="0.25">
      <c r="A471" s="48">
        <v>134</v>
      </c>
      <c r="B471" s="166" t="s">
        <v>760</v>
      </c>
      <c r="C471" s="166" t="s">
        <v>759</v>
      </c>
      <c r="D471" s="157">
        <v>0</v>
      </c>
      <c r="E471" s="157">
        <f>+'SMT KIT Rcvd '!D470</f>
        <v>2000</v>
      </c>
      <c r="F471" s="157">
        <f>+'Excise Dispatch '!D470</f>
        <v>2000</v>
      </c>
      <c r="G471" s="157">
        <f>+'PACK Prod'!D470</f>
        <v>2000</v>
      </c>
      <c r="H471" s="157">
        <f t="shared" si="47"/>
        <v>0</v>
      </c>
      <c r="I471" s="158">
        <f t="shared" si="48"/>
        <v>0</v>
      </c>
      <c r="J471" s="157">
        <f t="shared" si="46"/>
        <v>0</v>
      </c>
      <c r="K471" s="160">
        <v>2000</v>
      </c>
      <c r="L471" s="159">
        <f t="shared" si="49"/>
        <v>0</v>
      </c>
      <c r="M471" s="157">
        <v>0</v>
      </c>
    </row>
    <row r="472" spans="1:13" s="67" customFormat="1" ht="15.75" customHeight="1" x14ac:dyDescent="0.25">
      <c r="A472" s="48">
        <v>135</v>
      </c>
      <c r="B472" s="176" t="s">
        <v>1050</v>
      </c>
      <c r="C472" s="176" t="s">
        <v>1047</v>
      </c>
      <c r="D472" s="157">
        <v>0</v>
      </c>
      <c r="E472" s="157">
        <f>+'SMT KIT Rcvd '!D471</f>
        <v>3010</v>
      </c>
      <c r="F472" s="157">
        <f>+'Excise Dispatch '!D471</f>
        <v>3010</v>
      </c>
      <c r="G472" s="157">
        <f>+'PACK Prod'!D471</f>
        <v>3010</v>
      </c>
      <c r="H472" s="157">
        <f t="shared" si="47"/>
        <v>0</v>
      </c>
      <c r="I472" s="158">
        <f t="shared" si="48"/>
        <v>0</v>
      </c>
      <c r="J472" s="157">
        <f t="shared" si="46"/>
        <v>0</v>
      </c>
      <c r="K472" s="160">
        <v>3010</v>
      </c>
      <c r="L472" s="159">
        <f t="shared" si="49"/>
        <v>0</v>
      </c>
      <c r="M472" s="157">
        <v>0</v>
      </c>
    </row>
    <row r="473" spans="1:13" s="67" customFormat="1" ht="15.75" customHeight="1" x14ac:dyDescent="0.25">
      <c r="A473" s="48">
        <v>136</v>
      </c>
      <c r="B473" s="176" t="s">
        <v>1051</v>
      </c>
      <c r="C473" s="176" t="s">
        <v>1048</v>
      </c>
      <c r="D473" s="157">
        <v>0</v>
      </c>
      <c r="E473" s="157">
        <f>+'SMT KIT Rcvd '!D472</f>
        <v>2528</v>
      </c>
      <c r="F473" s="157">
        <f>+'Excise Dispatch '!D472</f>
        <v>2528</v>
      </c>
      <c r="G473" s="157">
        <f>+'PACK Prod'!D472</f>
        <v>2528</v>
      </c>
      <c r="H473" s="157">
        <f t="shared" si="47"/>
        <v>0</v>
      </c>
      <c r="I473" s="158">
        <f t="shared" si="48"/>
        <v>0</v>
      </c>
      <c r="J473" s="157">
        <f t="shared" si="46"/>
        <v>0</v>
      </c>
      <c r="K473" s="160">
        <v>2528</v>
      </c>
      <c r="L473" s="159">
        <f t="shared" si="49"/>
        <v>0</v>
      </c>
      <c r="M473" s="157">
        <v>0</v>
      </c>
    </row>
    <row r="474" spans="1:13" s="67" customFormat="1" ht="15.75" customHeight="1" x14ac:dyDescent="0.25">
      <c r="A474" s="48">
        <v>137</v>
      </c>
      <c r="B474" s="176" t="s">
        <v>1052</v>
      </c>
      <c r="C474" s="176" t="s">
        <v>1049</v>
      </c>
      <c r="D474" s="157">
        <v>0</v>
      </c>
      <c r="E474" s="157">
        <f>+'SMT KIT Rcvd '!D473</f>
        <v>600</v>
      </c>
      <c r="F474" s="157">
        <f>+'Excise Dispatch '!D473</f>
        <v>600</v>
      </c>
      <c r="G474" s="157">
        <f>+'PACK Prod'!D473</f>
        <v>600</v>
      </c>
      <c r="H474" s="157">
        <f t="shared" si="47"/>
        <v>0</v>
      </c>
      <c r="I474" s="158">
        <f t="shared" si="48"/>
        <v>0</v>
      </c>
      <c r="J474" s="157">
        <f t="shared" si="46"/>
        <v>0</v>
      </c>
      <c r="K474" s="160">
        <v>600</v>
      </c>
      <c r="L474" s="159">
        <f t="shared" si="49"/>
        <v>0</v>
      </c>
      <c r="M474" s="157">
        <v>0</v>
      </c>
    </row>
    <row r="475" spans="1:13" s="67" customFormat="1" ht="15.75" customHeight="1" x14ac:dyDescent="0.25">
      <c r="A475" s="48">
        <v>138</v>
      </c>
      <c r="B475" s="176" t="s">
        <v>1054</v>
      </c>
      <c r="C475" s="176" t="s">
        <v>1053</v>
      </c>
      <c r="D475" s="157">
        <v>0</v>
      </c>
      <c r="E475" s="157">
        <f>+'SMT KIT Rcvd '!D474</f>
        <v>108500</v>
      </c>
      <c r="F475" s="157">
        <f>+'Excise Dispatch '!D474</f>
        <v>108500</v>
      </c>
      <c r="G475" s="157">
        <f>+'PACK Prod'!D474</f>
        <v>108500</v>
      </c>
      <c r="H475" s="157">
        <f t="shared" si="47"/>
        <v>0</v>
      </c>
      <c r="I475" s="158">
        <f t="shared" si="48"/>
        <v>0</v>
      </c>
      <c r="J475" s="157">
        <f t="shared" si="46"/>
        <v>0</v>
      </c>
      <c r="K475" s="160">
        <v>108500</v>
      </c>
      <c r="L475" s="159">
        <f t="shared" si="49"/>
        <v>0</v>
      </c>
      <c r="M475" s="157">
        <v>0</v>
      </c>
    </row>
    <row r="476" spans="1:13" s="67" customFormat="1" ht="15.75" customHeight="1" x14ac:dyDescent="0.25">
      <c r="A476" s="48">
        <v>139</v>
      </c>
      <c r="B476" s="176" t="s">
        <v>889</v>
      </c>
      <c r="C476" s="176" t="s">
        <v>888</v>
      </c>
      <c r="D476" s="157">
        <v>0</v>
      </c>
      <c r="E476" s="157">
        <f>+'SMT KIT Rcvd '!D475</f>
        <v>9200</v>
      </c>
      <c r="F476" s="157">
        <f>+'Excise Dispatch '!D475</f>
        <v>9200</v>
      </c>
      <c r="G476" s="157">
        <f>+'PACK Prod'!D475</f>
        <v>9200</v>
      </c>
      <c r="H476" s="157">
        <f t="shared" si="47"/>
        <v>0</v>
      </c>
      <c r="I476" s="158">
        <f t="shared" si="48"/>
        <v>0</v>
      </c>
      <c r="J476" s="157">
        <f t="shared" si="46"/>
        <v>0</v>
      </c>
      <c r="K476" s="160">
        <v>9200</v>
      </c>
      <c r="L476" s="159">
        <f t="shared" si="49"/>
        <v>0</v>
      </c>
      <c r="M476" s="157">
        <v>0</v>
      </c>
    </row>
    <row r="477" spans="1:13" s="67" customFormat="1" ht="15.75" customHeight="1" x14ac:dyDescent="0.25">
      <c r="A477" s="48">
        <v>140</v>
      </c>
      <c r="B477" s="176" t="s">
        <v>891</v>
      </c>
      <c r="C477" s="176" t="s">
        <v>890</v>
      </c>
      <c r="D477" s="157">
        <v>0</v>
      </c>
      <c r="E477" s="157">
        <f>+'SMT KIT Rcvd '!D476</f>
        <v>8000</v>
      </c>
      <c r="F477" s="157">
        <f>+'Excise Dispatch '!D476</f>
        <v>8000</v>
      </c>
      <c r="G477" s="157">
        <f>+'PACK Prod'!D476</f>
        <v>8000</v>
      </c>
      <c r="H477" s="157">
        <f t="shared" si="47"/>
        <v>0</v>
      </c>
      <c r="I477" s="158">
        <f t="shared" si="48"/>
        <v>0</v>
      </c>
      <c r="J477" s="157">
        <f t="shared" si="46"/>
        <v>0</v>
      </c>
      <c r="K477" s="160">
        <v>8000</v>
      </c>
      <c r="L477" s="159">
        <f t="shared" si="49"/>
        <v>0</v>
      </c>
      <c r="M477" s="157">
        <v>0</v>
      </c>
    </row>
    <row r="478" spans="1:13" s="67" customFormat="1" ht="15.75" customHeight="1" x14ac:dyDescent="0.25">
      <c r="A478" s="48">
        <v>141</v>
      </c>
      <c r="B478" s="166" t="s">
        <v>529</v>
      </c>
      <c r="C478" s="166" t="s">
        <v>528</v>
      </c>
      <c r="D478" s="157">
        <v>0</v>
      </c>
      <c r="E478" s="157">
        <f>+'SMT KIT Rcvd '!D477</f>
        <v>0</v>
      </c>
      <c r="F478" s="157">
        <f>+'Excise Dispatch '!D477</f>
        <v>0</v>
      </c>
      <c r="G478" s="157">
        <f>+'PACK Prod'!D477</f>
        <v>0</v>
      </c>
      <c r="H478" s="157">
        <f t="shared" si="47"/>
        <v>0</v>
      </c>
      <c r="I478" s="158">
        <f t="shared" si="48"/>
        <v>0</v>
      </c>
      <c r="J478" s="157">
        <f t="shared" si="46"/>
        <v>0</v>
      </c>
      <c r="K478" s="160">
        <v>0</v>
      </c>
      <c r="L478" s="159">
        <f t="shared" si="49"/>
        <v>0</v>
      </c>
      <c r="M478" s="157">
        <v>0</v>
      </c>
    </row>
    <row r="479" spans="1:13" s="67" customFormat="1" ht="15.75" customHeight="1" x14ac:dyDescent="0.25">
      <c r="A479" s="48">
        <v>142</v>
      </c>
      <c r="B479" s="166" t="s">
        <v>368</v>
      </c>
      <c r="C479" s="166" t="s">
        <v>367</v>
      </c>
      <c r="D479" s="157">
        <v>0</v>
      </c>
      <c r="E479" s="157">
        <f>+'SMT KIT Rcvd '!D478</f>
        <v>8000</v>
      </c>
      <c r="F479" s="157">
        <f>+'Excise Dispatch '!D478</f>
        <v>8000</v>
      </c>
      <c r="G479" s="157">
        <f>+'PACK Prod'!D478</f>
        <v>8000</v>
      </c>
      <c r="H479" s="157">
        <f t="shared" si="47"/>
        <v>0</v>
      </c>
      <c r="I479" s="158">
        <f t="shared" si="48"/>
        <v>0</v>
      </c>
      <c r="J479" s="157">
        <f t="shared" si="46"/>
        <v>0</v>
      </c>
      <c r="K479" s="160">
        <v>8000</v>
      </c>
      <c r="L479" s="159">
        <f t="shared" si="49"/>
        <v>0</v>
      </c>
      <c r="M479" s="157">
        <v>0</v>
      </c>
    </row>
    <row r="480" spans="1:13" s="67" customFormat="1" ht="15.75" customHeight="1" x14ac:dyDescent="0.25">
      <c r="A480" s="48">
        <v>143</v>
      </c>
      <c r="B480" s="176" t="s">
        <v>1118</v>
      </c>
      <c r="C480" s="176" t="s">
        <v>1117</v>
      </c>
      <c r="D480" s="157">
        <v>0</v>
      </c>
      <c r="E480" s="157">
        <f>+'SMT KIT Rcvd '!D479</f>
        <v>2000</v>
      </c>
      <c r="F480" s="157">
        <f>+'Excise Dispatch '!D479</f>
        <v>2000</v>
      </c>
      <c r="G480" s="157">
        <f>+'PACK Prod'!D479</f>
        <v>2000</v>
      </c>
      <c r="H480" s="157">
        <f t="shared" si="47"/>
        <v>0</v>
      </c>
      <c r="I480" s="158">
        <f t="shared" si="48"/>
        <v>0</v>
      </c>
      <c r="J480" s="157">
        <f t="shared" si="46"/>
        <v>0</v>
      </c>
      <c r="K480" s="160">
        <v>2000</v>
      </c>
      <c r="L480" s="159">
        <f t="shared" si="49"/>
        <v>0</v>
      </c>
      <c r="M480" s="157">
        <v>0</v>
      </c>
    </row>
    <row r="481" spans="1:13" s="67" customFormat="1" ht="15.75" customHeight="1" x14ac:dyDescent="0.25">
      <c r="A481" s="48">
        <v>144</v>
      </c>
      <c r="B481" s="176" t="s">
        <v>1120</v>
      </c>
      <c r="C481" s="176" t="s">
        <v>1119</v>
      </c>
      <c r="D481" s="157">
        <v>0</v>
      </c>
      <c r="E481" s="157">
        <f>+'SMT KIT Rcvd '!D480</f>
        <v>47200</v>
      </c>
      <c r="F481" s="157">
        <f>+'Excise Dispatch '!D480</f>
        <v>47200</v>
      </c>
      <c r="G481" s="157">
        <f>+'PACK Prod'!D480</f>
        <v>47200</v>
      </c>
      <c r="H481" s="157">
        <f t="shared" si="47"/>
        <v>0</v>
      </c>
      <c r="I481" s="158">
        <f t="shared" si="48"/>
        <v>0</v>
      </c>
      <c r="J481" s="157">
        <f t="shared" si="46"/>
        <v>0</v>
      </c>
      <c r="K481" s="160">
        <v>47200</v>
      </c>
      <c r="L481" s="159">
        <f t="shared" si="49"/>
        <v>0</v>
      </c>
      <c r="M481" s="157">
        <v>0</v>
      </c>
    </row>
    <row r="482" spans="1:13" s="67" customFormat="1" ht="15.75" customHeight="1" x14ac:dyDescent="0.25">
      <c r="A482" s="48">
        <v>145</v>
      </c>
      <c r="B482" s="176" t="s">
        <v>968</v>
      </c>
      <c r="C482" s="176" t="s">
        <v>967</v>
      </c>
      <c r="D482" s="157">
        <v>0</v>
      </c>
      <c r="E482" s="157">
        <f>+'SMT KIT Rcvd '!D481</f>
        <v>30000</v>
      </c>
      <c r="F482" s="157">
        <f>+'Excise Dispatch '!D481</f>
        <v>30000</v>
      </c>
      <c r="G482" s="157">
        <f>+'PACK Prod'!D481</f>
        <v>30000</v>
      </c>
      <c r="H482" s="157">
        <f t="shared" si="47"/>
        <v>0</v>
      </c>
      <c r="I482" s="158">
        <f t="shared" si="48"/>
        <v>0</v>
      </c>
      <c r="J482" s="157">
        <f t="shared" si="46"/>
        <v>0</v>
      </c>
      <c r="K482" s="160">
        <v>30000</v>
      </c>
      <c r="L482" s="159">
        <f t="shared" si="49"/>
        <v>0</v>
      </c>
      <c r="M482" s="157">
        <v>0</v>
      </c>
    </row>
    <row r="483" spans="1:13" s="67" customFormat="1" ht="15.75" customHeight="1" x14ac:dyDescent="0.25">
      <c r="A483" s="48">
        <v>146</v>
      </c>
      <c r="B483" s="166" t="s">
        <v>369</v>
      </c>
      <c r="C483" s="166" t="s">
        <v>370</v>
      </c>
      <c r="D483" s="157">
        <v>5000</v>
      </c>
      <c r="E483" s="157">
        <f>+'SMT KIT Rcvd '!D482</f>
        <v>13800</v>
      </c>
      <c r="F483" s="157">
        <f>+'Excise Dispatch '!D482</f>
        <v>18800</v>
      </c>
      <c r="G483" s="157">
        <f>+'PACK Prod'!D482</f>
        <v>17334</v>
      </c>
      <c r="H483" s="157">
        <f t="shared" si="47"/>
        <v>0</v>
      </c>
      <c r="I483" s="158">
        <f t="shared" si="48"/>
        <v>0</v>
      </c>
      <c r="J483" s="157">
        <f t="shared" si="46"/>
        <v>0</v>
      </c>
      <c r="K483" s="160">
        <v>13800</v>
      </c>
      <c r="L483" s="159">
        <f t="shared" si="49"/>
        <v>-5000</v>
      </c>
      <c r="M483" s="157">
        <v>1466</v>
      </c>
    </row>
    <row r="484" spans="1:13" s="67" customFormat="1" ht="15.75" customHeight="1" x14ac:dyDescent="0.25">
      <c r="A484" s="48">
        <v>147</v>
      </c>
      <c r="B484" s="176" t="s">
        <v>1093</v>
      </c>
      <c r="C484" s="176" t="s">
        <v>1091</v>
      </c>
      <c r="D484" s="157">
        <v>0</v>
      </c>
      <c r="E484" s="157">
        <f>+'SMT KIT Rcvd '!D483</f>
        <v>500</v>
      </c>
      <c r="F484" s="157">
        <f>+'Excise Dispatch '!D483</f>
        <v>500</v>
      </c>
      <c r="G484" s="157">
        <f>+'PACK Prod'!D483</f>
        <v>500</v>
      </c>
      <c r="H484" s="157">
        <f t="shared" si="47"/>
        <v>0</v>
      </c>
      <c r="I484" s="158">
        <f t="shared" si="48"/>
        <v>0</v>
      </c>
      <c r="J484" s="157">
        <f t="shared" si="46"/>
        <v>0</v>
      </c>
      <c r="K484" s="160">
        <v>500</v>
      </c>
      <c r="L484" s="159">
        <f t="shared" si="49"/>
        <v>0</v>
      </c>
      <c r="M484" s="157">
        <v>0</v>
      </c>
    </row>
    <row r="485" spans="1:13" s="67" customFormat="1" ht="15.75" customHeight="1" x14ac:dyDescent="0.25">
      <c r="A485" s="48">
        <v>148</v>
      </c>
      <c r="B485" s="176" t="s">
        <v>1094</v>
      </c>
      <c r="C485" s="176" t="s">
        <v>1092</v>
      </c>
      <c r="D485" s="157">
        <v>0</v>
      </c>
      <c r="E485" s="157">
        <f>+'SMT KIT Rcvd '!D484</f>
        <v>1310</v>
      </c>
      <c r="F485" s="157">
        <f>+'Excise Dispatch '!D484</f>
        <v>1310</v>
      </c>
      <c r="G485" s="157">
        <f>+'PACK Prod'!D484</f>
        <v>1310</v>
      </c>
      <c r="H485" s="157">
        <f t="shared" si="47"/>
        <v>0</v>
      </c>
      <c r="I485" s="158">
        <f t="shared" si="48"/>
        <v>0</v>
      </c>
      <c r="J485" s="157">
        <f t="shared" si="46"/>
        <v>0</v>
      </c>
      <c r="K485" s="160">
        <v>1310</v>
      </c>
      <c r="L485" s="159">
        <f t="shared" si="49"/>
        <v>0</v>
      </c>
      <c r="M485" s="157">
        <v>0</v>
      </c>
    </row>
    <row r="486" spans="1:13" s="67" customFormat="1" ht="15.75" customHeight="1" x14ac:dyDescent="0.25">
      <c r="A486" s="48">
        <v>149</v>
      </c>
      <c r="B486" s="166" t="s">
        <v>437</v>
      </c>
      <c r="C486" s="166" t="s">
        <v>436</v>
      </c>
      <c r="D486" s="157">
        <v>0</v>
      </c>
      <c r="E486" s="157">
        <f>+'SMT KIT Rcvd '!D485</f>
        <v>0</v>
      </c>
      <c r="F486" s="157">
        <f>+'Excise Dispatch '!D485</f>
        <v>0</v>
      </c>
      <c r="G486" s="157">
        <f>+'PACK Prod'!D485</f>
        <v>0</v>
      </c>
      <c r="H486" s="157">
        <f t="shared" si="47"/>
        <v>0</v>
      </c>
      <c r="I486" s="158">
        <f t="shared" si="48"/>
        <v>0</v>
      </c>
      <c r="J486" s="157">
        <f t="shared" si="46"/>
        <v>0</v>
      </c>
      <c r="K486" s="160">
        <v>0</v>
      </c>
      <c r="L486" s="159">
        <f t="shared" si="49"/>
        <v>0</v>
      </c>
      <c r="M486" s="157">
        <v>0</v>
      </c>
    </row>
    <row r="487" spans="1:13" s="67" customFormat="1" ht="15.75" customHeight="1" x14ac:dyDescent="0.25">
      <c r="A487" s="48">
        <v>150</v>
      </c>
      <c r="B487" s="166" t="s">
        <v>440</v>
      </c>
      <c r="C487" s="166" t="s">
        <v>438</v>
      </c>
      <c r="D487" s="157">
        <v>0</v>
      </c>
      <c r="E487" s="157">
        <f>+'SMT KIT Rcvd '!D486</f>
        <v>5500</v>
      </c>
      <c r="F487" s="157">
        <f>+'Excise Dispatch '!D486</f>
        <v>5500</v>
      </c>
      <c r="G487" s="157">
        <f>+'PACK Prod'!D486</f>
        <v>5500</v>
      </c>
      <c r="H487" s="157">
        <f t="shared" si="47"/>
        <v>0</v>
      </c>
      <c r="I487" s="158">
        <f t="shared" si="48"/>
        <v>0</v>
      </c>
      <c r="J487" s="157">
        <f t="shared" si="46"/>
        <v>0</v>
      </c>
      <c r="K487" s="160">
        <v>5500</v>
      </c>
      <c r="L487" s="159">
        <f t="shared" si="49"/>
        <v>0</v>
      </c>
      <c r="M487" s="157">
        <v>0</v>
      </c>
    </row>
    <row r="488" spans="1:13" s="67" customFormat="1" ht="15.75" customHeight="1" x14ac:dyDescent="0.25">
      <c r="A488" s="48">
        <v>151</v>
      </c>
      <c r="B488" s="166" t="s">
        <v>441</v>
      </c>
      <c r="C488" s="166" t="s">
        <v>439</v>
      </c>
      <c r="D488" s="157">
        <v>0</v>
      </c>
      <c r="E488" s="157">
        <f>+'SMT KIT Rcvd '!D487</f>
        <v>68000</v>
      </c>
      <c r="F488" s="157">
        <f>+'Excise Dispatch '!D487</f>
        <v>68000</v>
      </c>
      <c r="G488" s="157">
        <f>+'PACK Prod'!D487</f>
        <v>68000</v>
      </c>
      <c r="H488" s="157">
        <f t="shared" si="47"/>
        <v>0</v>
      </c>
      <c r="I488" s="158">
        <f t="shared" si="48"/>
        <v>0</v>
      </c>
      <c r="J488" s="157">
        <f t="shared" si="46"/>
        <v>0</v>
      </c>
      <c r="K488" s="160">
        <v>68000</v>
      </c>
      <c r="L488" s="159">
        <f t="shared" si="49"/>
        <v>0</v>
      </c>
      <c r="M488" s="157">
        <v>0</v>
      </c>
    </row>
    <row r="489" spans="1:13" s="67" customFormat="1" ht="15.75" customHeight="1" x14ac:dyDescent="0.25">
      <c r="A489" s="48">
        <v>152</v>
      </c>
      <c r="B489" s="176" t="s">
        <v>989</v>
      </c>
      <c r="C489" s="176" t="s">
        <v>987</v>
      </c>
      <c r="D489" s="157">
        <v>0</v>
      </c>
      <c r="E489" s="157">
        <f>+'SMT KIT Rcvd '!D488</f>
        <v>500</v>
      </c>
      <c r="F489" s="157">
        <f>+'Excise Dispatch '!D488</f>
        <v>500</v>
      </c>
      <c r="G489" s="157">
        <f>+'PACK Prod'!D488</f>
        <v>500</v>
      </c>
      <c r="H489" s="157">
        <f t="shared" si="47"/>
        <v>0</v>
      </c>
      <c r="I489" s="158">
        <f t="shared" si="48"/>
        <v>0</v>
      </c>
      <c r="J489" s="157">
        <f t="shared" si="46"/>
        <v>0</v>
      </c>
      <c r="K489" s="160">
        <v>500</v>
      </c>
      <c r="L489" s="159">
        <f t="shared" si="49"/>
        <v>0</v>
      </c>
      <c r="M489" s="157">
        <v>0</v>
      </c>
    </row>
    <row r="490" spans="1:13" s="67" customFormat="1" ht="15.75" customHeight="1" x14ac:dyDescent="0.25">
      <c r="A490" s="48">
        <v>153</v>
      </c>
      <c r="B490" s="176" t="s">
        <v>990</v>
      </c>
      <c r="C490" s="176" t="s">
        <v>988</v>
      </c>
      <c r="D490" s="157">
        <v>0</v>
      </c>
      <c r="E490" s="157">
        <f>+'SMT KIT Rcvd '!D489</f>
        <v>500</v>
      </c>
      <c r="F490" s="157">
        <f>+'Excise Dispatch '!D489</f>
        <v>500</v>
      </c>
      <c r="G490" s="157">
        <f>+'PACK Prod'!D489</f>
        <v>500</v>
      </c>
      <c r="H490" s="157">
        <f t="shared" si="47"/>
        <v>0</v>
      </c>
      <c r="I490" s="158">
        <f t="shared" si="48"/>
        <v>0</v>
      </c>
      <c r="J490" s="157">
        <f t="shared" si="46"/>
        <v>0</v>
      </c>
      <c r="K490" s="160">
        <v>500</v>
      </c>
      <c r="L490" s="159">
        <f t="shared" si="49"/>
        <v>0</v>
      </c>
      <c r="M490" s="157">
        <v>0</v>
      </c>
    </row>
    <row r="491" spans="1:13" s="67" customFormat="1" ht="15.75" customHeight="1" x14ac:dyDescent="0.25">
      <c r="A491" s="48">
        <v>154</v>
      </c>
      <c r="B491" s="176" t="s">
        <v>992</v>
      </c>
      <c r="C491" s="176" t="s">
        <v>991</v>
      </c>
      <c r="D491" s="157">
        <v>4</v>
      </c>
      <c r="E491" s="157">
        <f>+'SMT KIT Rcvd '!D490</f>
        <v>24100</v>
      </c>
      <c r="F491" s="157">
        <f>+'Excise Dispatch '!D490</f>
        <v>24104</v>
      </c>
      <c r="G491" s="157">
        <f>+'PACK Prod'!D490</f>
        <v>24100</v>
      </c>
      <c r="H491" s="157">
        <f t="shared" si="47"/>
        <v>0</v>
      </c>
      <c r="I491" s="158">
        <f t="shared" si="48"/>
        <v>0</v>
      </c>
      <c r="J491" s="157">
        <f t="shared" si="46"/>
        <v>0</v>
      </c>
      <c r="K491" s="160">
        <v>24100</v>
      </c>
      <c r="L491" s="159">
        <f t="shared" si="49"/>
        <v>-4</v>
      </c>
      <c r="M491" s="157">
        <v>4</v>
      </c>
    </row>
    <row r="492" spans="1:13" s="67" customFormat="1" ht="15.75" customHeight="1" x14ac:dyDescent="0.25">
      <c r="A492" s="48">
        <v>155</v>
      </c>
      <c r="B492" s="176" t="s">
        <v>1000</v>
      </c>
      <c r="C492" s="176" t="s">
        <v>999</v>
      </c>
      <c r="D492" s="157">
        <v>0</v>
      </c>
      <c r="E492" s="157">
        <f>+'SMT KIT Rcvd '!D491</f>
        <v>5000</v>
      </c>
      <c r="F492" s="157">
        <f>+'Excise Dispatch '!D491</f>
        <v>5000</v>
      </c>
      <c r="G492" s="157">
        <f>+'PACK Prod'!D491</f>
        <v>5000</v>
      </c>
      <c r="H492" s="157">
        <f t="shared" si="47"/>
        <v>0</v>
      </c>
      <c r="I492" s="158">
        <f t="shared" si="48"/>
        <v>0</v>
      </c>
      <c r="J492" s="157">
        <f t="shared" si="46"/>
        <v>0</v>
      </c>
      <c r="K492" s="160">
        <v>5000</v>
      </c>
      <c r="L492" s="159">
        <f t="shared" si="49"/>
        <v>0</v>
      </c>
      <c r="M492" s="157">
        <v>0</v>
      </c>
    </row>
    <row r="493" spans="1:13" s="67" customFormat="1" ht="15.75" customHeight="1" x14ac:dyDescent="0.25">
      <c r="A493" s="48">
        <v>156</v>
      </c>
      <c r="B493" s="176" t="s">
        <v>1002</v>
      </c>
      <c r="C493" s="176" t="s">
        <v>1001</v>
      </c>
      <c r="D493" s="157">
        <v>0</v>
      </c>
      <c r="E493" s="157">
        <f>+'SMT KIT Rcvd '!D492</f>
        <v>1200</v>
      </c>
      <c r="F493" s="157">
        <f>+'Excise Dispatch '!D492</f>
        <v>1200</v>
      </c>
      <c r="G493" s="157">
        <f>+'PACK Prod'!D492</f>
        <v>1200</v>
      </c>
      <c r="H493" s="157">
        <f t="shared" si="47"/>
        <v>0</v>
      </c>
      <c r="I493" s="158">
        <f t="shared" si="48"/>
        <v>0</v>
      </c>
      <c r="J493" s="157">
        <f t="shared" ref="J493:J495" si="50">+H493-I493</f>
        <v>0</v>
      </c>
      <c r="K493" s="160">
        <v>1200</v>
      </c>
      <c r="L493" s="159">
        <f t="shared" si="49"/>
        <v>0</v>
      </c>
      <c r="M493" s="157">
        <v>0</v>
      </c>
    </row>
    <row r="494" spans="1:13" s="67" customFormat="1" ht="15.75" customHeight="1" x14ac:dyDescent="0.25">
      <c r="A494" s="48">
        <v>157</v>
      </c>
      <c r="B494" s="176" t="s">
        <v>1004</v>
      </c>
      <c r="C494" s="176" t="s">
        <v>1003</v>
      </c>
      <c r="D494" s="157">
        <v>0</v>
      </c>
      <c r="E494" s="157">
        <f>+'SMT KIT Rcvd '!D493</f>
        <v>500000</v>
      </c>
      <c r="F494" s="157">
        <f>+'Excise Dispatch '!D493</f>
        <v>500000</v>
      </c>
      <c r="G494" s="157">
        <f>+'PACK Prod'!D493</f>
        <v>500000</v>
      </c>
      <c r="H494" s="157">
        <f t="shared" si="47"/>
        <v>0</v>
      </c>
      <c r="I494" s="158">
        <f t="shared" si="48"/>
        <v>0</v>
      </c>
      <c r="J494" s="157">
        <f t="shared" si="50"/>
        <v>0</v>
      </c>
      <c r="K494" s="160">
        <v>500000</v>
      </c>
      <c r="L494" s="159">
        <f t="shared" si="49"/>
        <v>0</v>
      </c>
      <c r="M494" s="157">
        <v>0</v>
      </c>
    </row>
    <row r="495" spans="1:13" s="67" customFormat="1" ht="15.75" customHeight="1" x14ac:dyDescent="0.25">
      <c r="A495" s="48">
        <v>158</v>
      </c>
      <c r="B495" s="166" t="s">
        <v>162</v>
      </c>
      <c r="C495" s="166" t="s">
        <v>118</v>
      </c>
      <c r="D495" s="157">
        <v>0</v>
      </c>
      <c r="E495" s="157">
        <f>+'SMT KIT Rcvd '!D494</f>
        <v>0</v>
      </c>
      <c r="F495" s="157">
        <f>+'Excise Dispatch '!D494</f>
        <v>0</v>
      </c>
      <c r="G495" s="157">
        <f>+'PACK Prod'!D494</f>
        <v>0</v>
      </c>
      <c r="H495" s="157">
        <f t="shared" si="47"/>
        <v>0</v>
      </c>
      <c r="I495" s="158">
        <f t="shared" si="48"/>
        <v>0</v>
      </c>
      <c r="J495" s="157">
        <f t="shared" si="50"/>
        <v>0</v>
      </c>
      <c r="K495" s="160">
        <v>0</v>
      </c>
      <c r="L495" s="159">
        <f t="shared" si="49"/>
        <v>0</v>
      </c>
      <c r="M495" s="157">
        <v>0</v>
      </c>
    </row>
    <row r="496" spans="1:13" s="153" customFormat="1" ht="14.25" customHeight="1" x14ac:dyDescent="0.2">
      <c r="A496" s="151" t="s">
        <v>140</v>
      </c>
      <c r="B496" s="154" t="s">
        <v>125</v>
      </c>
      <c r="C496" s="162" t="s">
        <v>141</v>
      </c>
      <c r="D496" s="164">
        <f t="shared" ref="D496:M496" si="51">SUM(D497:D536)</f>
        <v>42458</v>
      </c>
      <c r="E496" s="164">
        <f t="shared" si="51"/>
        <v>463717</v>
      </c>
      <c r="F496" s="164">
        <f t="shared" si="51"/>
        <v>482242</v>
      </c>
      <c r="G496" s="164">
        <f t="shared" si="51"/>
        <v>471602</v>
      </c>
      <c r="H496" s="164">
        <f t="shared" si="51"/>
        <v>23933</v>
      </c>
      <c r="I496" s="164">
        <f t="shared" si="51"/>
        <v>23933</v>
      </c>
      <c r="J496" s="164">
        <f t="shared" si="51"/>
        <v>0</v>
      </c>
      <c r="K496" s="164">
        <f t="shared" si="51"/>
        <v>463717</v>
      </c>
      <c r="L496" s="164">
        <f t="shared" si="51"/>
        <v>-42458</v>
      </c>
      <c r="M496" s="164">
        <f t="shared" si="51"/>
        <v>34573</v>
      </c>
    </row>
    <row r="497" spans="1:13" s="67" customFormat="1" ht="15.75" customHeight="1" x14ac:dyDescent="0.2">
      <c r="A497" s="48">
        <v>1</v>
      </c>
      <c r="B497" s="166" t="s">
        <v>762</v>
      </c>
      <c r="C497" s="166" t="s">
        <v>761</v>
      </c>
      <c r="D497" s="157">
        <v>300</v>
      </c>
      <c r="E497" s="157">
        <f>+'SMT KIT Rcvd '!D496</f>
        <v>2700</v>
      </c>
      <c r="F497" s="157">
        <f>+'Excise Dispatch '!D496</f>
        <v>3000</v>
      </c>
      <c r="G497" s="157">
        <f>+'PACK Prod'!D496</f>
        <v>2700</v>
      </c>
      <c r="H497" s="157">
        <f t="shared" ref="H497:H536" si="52">D497+E497-F497</f>
        <v>0</v>
      </c>
      <c r="I497" s="158">
        <f t="shared" ref="I497:I536" si="53">G497+M497-F497</f>
        <v>0</v>
      </c>
      <c r="J497" s="157">
        <f t="shared" ref="J497:J536" si="54">+H497-I497</f>
        <v>0</v>
      </c>
      <c r="K497" s="157">
        <v>2700</v>
      </c>
      <c r="L497" s="159">
        <f t="shared" ref="L497:L536" si="55">K497-D497-E497</f>
        <v>-300</v>
      </c>
      <c r="M497" s="157">
        <v>300</v>
      </c>
    </row>
    <row r="498" spans="1:13" s="67" customFormat="1" ht="15.75" customHeight="1" x14ac:dyDescent="0.2">
      <c r="A498" s="48">
        <v>2</v>
      </c>
      <c r="B498" s="166" t="s">
        <v>163</v>
      </c>
      <c r="C498" s="166" t="s">
        <v>95</v>
      </c>
      <c r="D498" s="157">
        <v>11900</v>
      </c>
      <c r="E498" s="157">
        <f>+'SMT KIT Rcvd '!D497</f>
        <v>0</v>
      </c>
      <c r="F498" s="157">
        <f>+'Excise Dispatch '!D497</f>
        <v>950</v>
      </c>
      <c r="G498" s="157">
        <f>+'PACK Prod'!D497</f>
        <v>0</v>
      </c>
      <c r="H498" s="157">
        <f t="shared" si="52"/>
        <v>10950</v>
      </c>
      <c r="I498" s="158">
        <f t="shared" si="53"/>
        <v>10950</v>
      </c>
      <c r="J498" s="157">
        <f t="shared" si="54"/>
        <v>0</v>
      </c>
      <c r="K498" s="157">
        <v>0</v>
      </c>
      <c r="L498" s="159">
        <f t="shared" si="55"/>
        <v>-11900</v>
      </c>
      <c r="M498" s="157">
        <v>11900</v>
      </c>
    </row>
    <row r="499" spans="1:13" s="67" customFormat="1" ht="15.75" customHeight="1" x14ac:dyDescent="0.2">
      <c r="A499" s="48">
        <v>3</v>
      </c>
      <c r="B499" s="166" t="s">
        <v>128</v>
      </c>
      <c r="C499" s="166" t="s">
        <v>127</v>
      </c>
      <c r="D499" s="157">
        <f>8300+570</f>
        <v>8870</v>
      </c>
      <c r="E499" s="157">
        <f>+'SMT KIT Rcvd '!D498</f>
        <v>164000</v>
      </c>
      <c r="F499" s="157">
        <f>+'Excise Dispatch '!D498</f>
        <v>168700</v>
      </c>
      <c r="G499" s="157">
        <f>+'PACK Prod'!D498</f>
        <v>164000</v>
      </c>
      <c r="H499" s="157">
        <f t="shared" si="52"/>
        <v>4170</v>
      </c>
      <c r="I499" s="158">
        <f t="shared" si="53"/>
        <v>4170</v>
      </c>
      <c r="J499" s="157">
        <f t="shared" si="54"/>
        <v>0</v>
      </c>
      <c r="K499" s="157">
        <v>164000</v>
      </c>
      <c r="L499" s="159">
        <f t="shared" si="55"/>
        <v>-8870</v>
      </c>
      <c r="M499" s="157">
        <f>8300+570</f>
        <v>8870</v>
      </c>
    </row>
    <row r="500" spans="1:13" s="67" customFormat="1" ht="15.75" customHeight="1" x14ac:dyDescent="0.2">
      <c r="A500" s="48">
        <v>4</v>
      </c>
      <c r="B500" s="176" t="s">
        <v>1084</v>
      </c>
      <c r="C500" s="176" t="s">
        <v>1083</v>
      </c>
      <c r="D500" s="157">
        <v>0</v>
      </c>
      <c r="E500" s="157">
        <f>+'SMT KIT Rcvd '!D499</f>
        <v>5000</v>
      </c>
      <c r="F500" s="157">
        <f>+'Excise Dispatch '!D499</f>
        <v>5000</v>
      </c>
      <c r="G500" s="157">
        <f>+'PACK Prod'!D499</f>
        <v>5000</v>
      </c>
      <c r="H500" s="157">
        <f t="shared" si="52"/>
        <v>0</v>
      </c>
      <c r="I500" s="158">
        <f t="shared" si="53"/>
        <v>0</v>
      </c>
      <c r="J500" s="157">
        <f t="shared" si="54"/>
        <v>0</v>
      </c>
      <c r="K500" s="157">
        <v>5000</v>
      </c>
      <c r="L500" s="159">
        <f t="shared" si="55"/>
        <v>0</v>
      </c>
      <c r="M500" s="157">
        <v>0</v>
      </c>
    </row>
    <row r="501" spans="1:13" s="67" customFormat="1" ht="15.75" customHeight="1" x14ac:dyDescent="0.2">
      <c r="A501" s="48">
        <v>5</v>
      </c>
      <c r="B501" s="166" t="s">
        <v>491</v>
      </c>
      <c r="C501" s="166" t="s">
        <v>490</v>
      </c>
      <c r="D501" s="157">
        <v>896</v>
      </c>
      <c r="E501" s="157">
        <f>+'SMT KIT Rcvd '!D500</f>
        <v>19104</v>
      </c>
      <c r="F501" s="157">
        <f>+'Excise Dispatch '!D500</f>
        <v>20000</v>
      </c>
      <c r="G501" s="157">
        <f>+'PACK Prod'!D500</f>
        <v>19104</v>
      </c>
      <c r="H501" s="157">
        <f t="shared" si="52"/>
        <v>0</v>
      </c>
      <c r="I501" s="158">
        <f t="shared" si="53"/>
        <v>0</v>
      </c>
      <c r="J501" s="157">
        <f t="shared" si="54"/>
        <v>0</v>
      </c>
      <c r="K501" s="157">
        <v>19104</v>
      </c>
      <c r="L501" s="159">
        <f t="shared" si="55"/>
        <v>-896</v>
      </c>
      <c r="M501" s="157">
        <v>896</v>
      </c>
    </row>
    <row r="502" spans="1:13" s="67" customFormat="1" ht="15.75" customHeight="1" x14ac:dyDescent="0.2">
      <c r="A502" s="48">
        <v>6</v>
      </c>
      <c r="B502" s="166" t="s">
        <v>199</v>
      </c>
      <c r="C502" s="166" t="s">
        <v>198</v>
      </c>
      <c r="D502" s="157">
        <v>76</v>
      </c>
      <c r="E502" s="157">
        <f>+'SMT KIT Rcvd '!D501</f>
        <v>184500</v>
      </c>
      <c r="F502" s="157">
        <f>+'Excise Dispatch '!D501</f>
        <v>184541</v>
      </c>
      <c r="G502" s="157">
        <f>+'PACK Prod'!D501</f>
        <v>184576</v>
      </c>
      <c r="H502" s="157">
        <f t="shared" si="52"/>
        <v>35</v>
      </c>
      <c r="I502" s="158">
        <f t="shared" si="53"/>
        <v>35</v>
      </c>
      <c r="J502" s="157">
        <f t="shared" si="54"/>
        <v>0</v>
      </c>
      <c r="K502" s="157">
        <v>184500</v>
      </c>
      <c r="L502" s="159">
        <f t="shared" si="55"/>
        <v>-76</v>
      </c>
      <c r="M502" s="157">
        <v>0</v>
      </c>
    </row>
    <row r="503" spans="1:13" s="67" customFormat="1" ht="15.75" customHeight="1" x14ac:dyDescent="0.2">
      <c r="A503" s="48">
        <v>7</v>
      </c>
      <c r="B503" s="166" t="s">
        <v>477</v>
      </c>
      <c r="C503" s="166" t="s">
        <v>476</v>
      </c>
      <c r="D503" s="157">
        <v>61</v>
      </c>
      <c r="E503" s="157">
        <f>+'SMT KIT Rcvd '!D502</f>
        <v>2000</v>
      </c>
      <c r="F503" s="157">
        <f>+'Excise Dispatch '!D502</f>
        <v>2000</v>
      </c>
      <c r="G503" s="157">
        <f>+'PACK Prod'!D502</f>
        <v>2000</v>
      </c>
      <c r="H503" s="157">
        <f t="shared" si="52"/>
        <v>61</v>
      </c>
      <c r="I503" s="158">
        <f t="shared" si="53"/>
        <v>61</v>
      </c>
      <c r="J503" s="157">
        <f t="shared" si="54"/>
        <v>0</v>
      </c>
      <c r="K503" s="157">
        <v>2000</v>
      </c>
      <c r="L503" s="159">
        <f t="shared" si="55"/>
        <v>-61</v>
      </c>
      <c r="M503" s="157">
        <v>61</v>
      </c>
    </row>
    <row r="504" spans="1:13" s="67" customFormat="1" ht="15.75" customHeight="1" x14ac:dyDescent="0.2">
      <c r="A504" s="48">
        <v>8</v>
      </c>
      <c r="B504" s="166" t="s">
        <v>845</v>
      </c>
      <c r="C504" s="166" t="s">
        <v>844</v>
      </c>
      <c r="D504" s="157">
        <v>0</v>
      </c>
      <c r="E504" s="157">
        <f>+'SMT KIT Rcvd '!D503</f>
        <v>10900</v>
      </c>
      <c r="F504" s="157">
        <f>+'Excise Dispatch '!D503</f>
        <v>10900</v>
      </c>
      <c r="G504" s="157">
        <f>+'PACK Prod'!D503</f>
        <v>10900</v>
      </c>
      <c r="H504" s="157">
        <f t="shared" si="52"/>
        <v>0</v>
      </c>
      <c r="I504" s="158">
        <f t="shared" si="53"/>
        <v>0</v>
      </c>
      <c r="J504" s="157">
        <f t="shared" si="54"/>
        <v>0</v>
      </c>
      <c r="K504" s="157">
        <v>10900</v>
      </c>
      <c r="L504" s="159">
        <f t="shared" si="55"/>
        <v>0</v>
      </c>
      <c r="M504" s="157">
        <v>0</v>
      </c>
    </row>
    <row r="505" spans="1:13" s="67" customFormat="1" ht="15.75" customHeight="1" x14ac:dyDescent="0.2">
      <c r="A505" s="48">
        <v>9</v>
      </c>
      <c r="B505" s="166" t="s">
        <v>175</v>
      </c>
      <c r="C505" s="166" t="s">
        <v>174</v>
      </c>
      <c r="D505" s="157">
        <v>2900</v>
      </c>
      <c r="E505" s="157">
        <f>+'SMT KIT Rcvd '!D504</f>
        <v>3800</v>
      </c>
      <c r="F505" s="157">
        <f>+'Excise Dispatch '!D504</f>
        <v>6700</v>
      </c>
      <c r="G505" s="157">
        <f>+'PACK Prod'!D504</f>
        <v>3728</v>
      </c>
      <c r="H505" s="157">
        <f t="shared" si="52"/>
        <v>0</v>
      </c>
      <c r="I505" s="158">
        <f t="shared" si="53"/>
        <v>0</v>
      </c>
      <c r="J505" s="157">
        <f t="shared" si="54"/>
        <v>0</v>
      </c>
      <c r="K505" s="157">
        <v>3800</v>
      </c>
      <c r="L505" s="159">
        <f t="shared" si="55"/>
        <v>-2900</v>
      </c>
      <c r="M505" s="157">
        <v>2972</v>
      </c>
    </row>
    <row r="506" spans="1:13" s="67" customFormat="1" ht="15.75" customHeight="1" x14ac:dyDescent="0.2">
      <c r="A506" s="48">
        <v>10</v>
      </c>
      <c r="B506" s="176" t="s">
        <v>852</v>
      </c>
      <c r="C506" s="176" t="s">
        <v>850</v>
      </c>
      <c r="D506" s="157">
        <v>152</v>
      </c>
      <c r="E506" s="157">
        <f>+'SMT KIT Rcvd '!D505</f>
        <v>0</v>
      </c>
      <c r="F506" s="157">
        <f>+'Excise Dispatch '!D505</f>
        <v>152</v>
      </c>
      <c r="G506" s="157">
        <f>+'PACK Prod'!D505</f>
        <v>120</v>
      </c>
      <c r="H506" s="157">
        <f t="shared" si="52"/>
        <v>0</v>
      </c>
      <c r="I506" s="158">
        <f t="shared" si="53"/>
        <v>0</v>
      </c>
      <c r="J506" s="157">
        <f t="shared" si="54"/>
        <v>0</v>
      </c>
      <c r="K506" s="157">
        <v>0</v>
      </c>
      <c r="L506" s="159">
        <f t="shared" si="55"/>
        <v>-152</v>
      </c>
      <c r="M506" s="157">
        <v>32</v>
      </c>
    </row>
    <row r="507" spans="1:13" s="67" customFormat="1" ht="15.75" customHeight="1" x14ac:dyDescent="0.2">
      <c r="A507" s="48">
        <v>11</v>
      </c>
      <c r="B507" s="176" t="s">
        <v>853</v>
      </c>
      <c r="C507" s="176" t="s">
        <v>851</v>
      </c>
      <c r="D507" s="157">
        <v>40</v>
      </c>
      <c r="E507" s="157">
        <f>+'SMT KIT Rcvd '!D506</f>
        <v>46500</v>
      </c>
      <c r="F507" s="157">
        <f>+'Excise Dispatch '!D506</f>
        <v>46540</v>
      </c>
      <c r="G507" s="157">
        <f>+'PACK Prod'!D506</f>
        <v>46500</v>
      </c>
      <c r="H507" s="157">
        <f t="shared" si="52"/>
        <v>0</v>
      </c>
      <c r="I507" s="158">
        <f t="shared" si="53"/>
        <v>0</v>
      </c>
      <c r="J507" s="157">
        <f t="shared" si="54"/>
        <v>0</v>
      </c>
      <c r="K507" s="157">
        <v>46500</v>
      </c>
      <c r="L507" s="159">
        <f t="shared" si="55"/>
        <v>-40</v>
      </c>
      <c r="M507" s="157">
        <v>40</v>
      </c>
    </row>
    <row r="508" spans="1:13" s="67" customFormat="1" ht="15.75" customHeight="1" x14ac:dyDescent="0.2">
      <c r="A508" s="48">
        <v>12</v>
      </c>
      <c r="B508" s="176" t="s">
        <v>855</v>
      </c>
      <c r="C508" s="176" t="s">
        <v>854</v>
      </c>
      <c r="D508" s="157">
        <v>0</v>
      </c>
      <c r="E508" s="157">
        <f>+'SMT KIT Rcvd '!D507</f>
        <v>200</v>
      </c>
      <c r="F508" s="157">
        <f>+'Excise Dispatch '!D507</f>
        <v>200</v>
      </c>
      <c r="G508" s="157">
        <f>+'PACK Prod'!D507</f>
        <v>200</v>
      </c>
      <c r="H508" s="157">
        <f t="shared" si="52"/>
        <v>0</v>
      </c>
      <c r="I508" s="158">
        <f t="shared" si="53"/>
        <v>0</v>
      </c>
      <c r="J508" s="157">
        <f t="shared" si="54"/>
        <v>0</v>
      </c>
      <c r="K508" s="157">
        <v>200</v>
      </c>
      <c r="L508" s="159">
        <f t="shared" si="55"/>
        <v>0</v>
      </c>
      <c r="M508" s="157">
        <v>0</v>
      </c>
    </row>
    <row r="509" spans="1:13" s="67" customFormat="1" ht="15.75" customHeight="1" x14ac:dyDescent="0.2">
      <c r="A509" s="48">
        <v>13</v>
      </c>
      <c r="B509" s="166" t="s">
        <v>431</v>
      </c>
      <c r="C509" s="166" t="s">
        <v>430</v>
      </c>
      <c r="D509" s="157">
        <v>327</v>
      </c>
      <c r="E509" s="157">
        <f>+'SMT KIT Rcvd '!D508</f>
        <v>573</v>
      </c>
      <c r="F509" s="157">
        <f>+'Excise Dispatch '!D508</f>
        <v>900</v>
      </c>
      <c r="G509" s="157">
        <f>+'PACK Prod'!D508</f>
        <v>573</v>
      </c>
      <c r="H509" s="157">
        <f t="shared" si="52"/>
        <v>0</v>
      </c>
      <c r="I509" s="158">
        <f t="shared" si="53"/>
        <v>0</v>
      </c>
      <c r="J509" s="157">
        <f t="shared" si="54"/>
        <v>0</v>
      </c>
      <c r="K509" s="157">
        <v>573</v>
      </c>
      <c r="L509" s="159">
        <f t="shared" si="55"/>
        <v>-327</v>
      </c>
      <c r="M509" s="157">
        <v>327</v>
      </c>
    </row>
    <row r="510" spans="1:13" s="67" customFormat="1" ht="15.75" customHeight="1" x14ac:dyDescent="0.2">
      <c r="A510" s="48">
        <v>14</v>
      </c>
      <c r="B510" s="166" t="s">
        <v>459</v>
      </c>
      <c r="C510" s="166" t="s">
        <v>458</v>
      </c>
      <c r="D510" s="157">
        <v>350</v>
      </c>
      <c r="E510" s="157">
        <f>+'SMT KIT Rcvd '!D509</f>
        <v>9000</v>
      </c>
      <c r="F510" s="157">
        <f>+'Excise Dispatch '!D509</f>
        <v>9350</v>
      </c>
      <c r="G510" s="157">
        <f>+'PACK Prod'!D509</f>
        <v>9000</v>
      </c>
      <c r="H510" s="157">
        <f t="shared" si="52"/>
        <v>0</v>
      </c>
      <c r="I510" s="158">
        <f t="shared" si="53"/>
        <v>0</v>
      </c>
      <c r="J510" s="157">
        <f t="shared" si="54"/>
        <v>0</v>
      </c>
      <c r="K510" s="157">
        <v>9000</v>
      </c>
      <c r="L510" s="159">
        <f t="shared" si="55"/>
        <v>-350</v>
      </c>
      <c r="M510" s="157">
        <v>350</v>
      </c>
    </row>
    <row r="511" spans="1:13" s="67" customFormat="1" ht="15.75" customHeight="1" x14ac:dyDescent="0.2">
      <c r="A511" s="48">
        <v>15</v>
      </c>
      <c r="B511" s="166" t="s">
        <v>391</v>
      </c>
      <c r="C511" s="166" t="s">
        <v>390</v>
      </c>
      <c r="D511" s="157">
        <v>0</v>
      </c>
      <c r="E511" s="157">
        <f>+'SMT KIT Rcvd '!D510</f>
        <v>3420</v>
      </c>
      <c r="F511" s="157">
        <f>+'Excise Dispatch '!D510</f>
        <v>3420</v>
      </c>
      <c r="G511" s="157">
        <f>+'PACK Prod'!D510</f>
        <v>3420</v>
      </c>
      <c r="H511" s="157">
        <f t="shared" si="52"/>
        <v>0</v>
      </c>
      <c r="I511" s="158">
        <f t="shared" si="53"/>
        <v>0</v>
      </c>
      <c r="J511" s="157">
        <f t="shared" si="54"/>
        <v>0</v>
      </c>
      <c r="K511" s="157">
        <v>3420</v>
      </c>
      <c r="L511" s="159">
        <f t="shared" si="55"/>
        <v>0</v>
      </c>
      <c r="M511" s="157">
        <v>0</v>
      </c>
    </row>
    <row r="512" spans="1:13" s="67" customFormat="1" ht="15.75" customHeight="1" x14ac:dyDescent="0.2">
      <c r="A512" s="48">
        <v>16</v>
      </c>
      <c r="B512" s="166" t="s">
        <v>873</v>
      </c>
      <c r="C512" s="166" t="s">
        <v>872</v>
      </c>
      <c r="D512" s="157">
        <v>60</v>
      </c>
      <c r="E512" s="157">
        <f>+'SMT KIT Rcvd '!D511</f>
        <v>540</v>
      </c>
      <c r="F512" s="157">
        <f>+'Excise Dispatch '!D511</f>
        <v>600</v>
      </c>
      <c r="G512" s="157">
        <f>+'PACK Prod'!D511</f>
        <v>540</v>
      </c>
      <c r="H512" s="157">
        <f t="shared" si="52"/>
        <v>0</v>
      </c>
      <c r="I512" s="158">
        <f t="shared" si="53"/>
        <v>0</v>
      </c>
      <c r="J512" s="157">
        <f t="shared" si="54"/>
        <v>0</v>
      </c>
      <c r="K512" s="157">
        <v>540</v>
      </c>
      <c r="L512" s="159">
        <f t="shared" si="55"/>
        <v>-60</v>
      </c>
      <c r="M512" s="157">
        <v>60</v>
      </c>
    </row>
    <row r="513" spans="1:13" s="67" customFormat="1" ht="15.75" customHeight="1" x14ac:dyDescent="0.2">
      <c r="A513" s="48">
        <v>17</v>
      </c>
      <c r="B513" s="176" t="s">
        <v>881</v>
      </c>
      <c r="C513" s="176" t="s">
        <v>880</v>
      </c>
      <c r="D513" s="157">
        <v>0</v>
      </c>
      <c r="E513" s="157">
        <f>+'SMT KIT Rcvd '!D512</f>
        <v>2500</v>
      </c>
      <c r="F513" s="157">
        <f>+'Excise Dispatch '!D512</f>
        <v>2500</v>
      </c>
      <c r="G513" s="157">
        <f>+'PACK Prod'!D512</f>
        <v>2500</v>
      </c>
      <c r="H513" s="157">
        <f t="shared" si="52"/>
        <v>0</v>
      </c>
      <c r="I513" s="158">
        <f t="shared" si="53"/>
        <v>0</v>
      </c>
      <c r="J513" s="157">
        <f t="shared" si="54"/>
        <v>0</v>
      </c>
      <c r="K513" s="157">
        <v>2500</v>
      </c>
      <c r="L513" s="159">
        <f t="shared" si="55"/>
        <v>0</v>
      </c>
      <c r="M513" s="157">
        <v>0</v>
      </c>
    </row>
    <row r="514" spans="1:13" s="67" customFormat="1" ht="15.75" customHeight="1" x14ac:dyDescent="0.2">
      <c r="A514" s="48">
        <v>18</v>
      </c>
      <c r="B514" s="176" t="s">
        <v>909</v>
      </c>
      <c r="C514" s="176" t="s">
        <v>908</v>
      </c>
      <c r="D514" s="157">
        <v>0</v>
      </c>
      <c r="E514" s="157">
        <f>+'SMT KIT Rcvd '!D513</f>
        <v>0</v>
      </c>
      <c r="F514" s="157">
        <f>+'Excise Dispatch '!D513</f>
        <v>0</v>
      </c>
      <c r="G514" s="157">
        <f>+'PACK Prod'!D513</f>
        <v>0</v>
      </c>
      <c r="H514" s="157">
        <f t="shared" si="52"/>
        <v>0</v>
      </c>
      <c r="I514" s="158">
        <f t="shared" si="53"/>
        <v>0</v>
      </c>
      <c r="J514" s="157">
        <f t="shared" si="54"/>
        <v>0</v>
      </c>
      <c r="K514" s="157">
        <v>0</v>
      </c>
      <c r="L514" s="159">
        <f t="shared" si="55"/>
        <v>0</v>
      </c>
      <c r="M514" s="157">
        <v>0</v>
      </c>
    </row>
    <row r="515" spans="1:13" s="67" customFormat="1" ht="15.75" customHeight="1" x14ac:dyDescent="0.2">
      <c r="A515" s="48">
        <v>19</v>
      </c>
      <c r="B515" s="176" t="s">
        <v>911</v>
      </c>
      <c r="C515" s="176" t="s">
        <v>910</v>
      </c>
      <c r="D515" s="157">
        <v>0</v>
      </c>
      <c r="E515" s="157">
        <f>+'SMT KIT Rcvd '!D514</f>
        <v>0</v>
      </c>
      <c r="F515" s="157">
        <f>+'Excise Dispatch '!D514</f>
        <v>0</v>
      </c>
      <c r="G515" s="157">
        <f>+'PACK Prod'!D514</f>
        <v>0</v>
      </c>
      <c r="H515" s="157">
        <f t="shared" si="52"/>
        <v>0</v>
      </c>
      <c r="I515" s="158">
        <f t="shared" si="53"/>
        <v>0</v>
      </c>
      <c r="J515" s="157">
        <f t="shared" si="54"/>
        <v>0</v>
      </c>
      <c r="K515" s="157">
        <v>0</v>
      </c>
      <c r="L515" s="159">
        <f t="shared" si="55"/>
        <v>0</v>
      </c>
      <c r="M515" s="157">
        <v>0</v>
      </c>
    </row>
    <row r="516" spans="1:13" s="67" customFormat="1" ht="15.75" customHeight="1" x14ac:dyDescent="0.2">
      <c r="A516" s="48">
        <v>20</v>
      </c>
      <c r="B516" s="166" t="s">
        <v>513</v>
      </c>
      <c r="C516" s="166" t="s">
        <v>514</v>
      </c>
      <c r="D516" s="157">
        <v>0</v>
      </c>
      <c r="E516" s="157">
        <f>+'SMT KIT Rcvd '!D515</f>
        <v>2000</v>
      </c>
      <c r="F516" s="157">
        <f>+'Excise Dispatch '!D515</f>
        <v>2000</v>
      </c>
      <c r="G516" s="157">
        <f>+'PACK Prod'!D515</f>
        <v>2000</v>
      </c>
      <c r="H516" s="157">
        <f t="shared" si="52"/>
        <v>0</v>
      </c>
      <c r="I516" s="158">
        <f t="shared" si="53"/>
        <v>0</v>
      </c>
      <c r="J516" s="157">
        <f t="shared" si="54"/>
        <v>0</v>
      </c>
      <c r="K516" s="157">
        <v>2000</v>
      </c>
      <c r="L516" s="159">
        <f t="shared" si="55"/>
        <v>0</v>
      </c>
      <c r="M516" s="157">
        <v>0</v>
      </c>
    </row>
    <row r="517" spans="1:13" s="67" customFormat="1" ht="15.75" customHeight="1" x14ac:dyDescent="0.2">
      <c r="A517" s="48">
        <v>21</v>
      </c>
      <c r="B517" s="166" t="s">
        <v>957</v>
      </c>
      <c r="C517" s="166" t="s">
        <v>956</v>
      </c>
      <c r="D517" s="157">
        <v>0</v>
      </c>
      <c r="E517" s="157">
        <f>+'SMT KIT Rcvd '!D516</f>
        <v>0</v>
      </c>
      <c r="F517" s="157">
        <f>+'Excise Dispatch '!D516</f>
        <v>0</v>
      </c>
      <c r="G517" s="157">
        <f>+'PACK Prod'!D516</f>
        <v>0</v>
      </c>
      <c r="H517" s="157">
        <f t="shared" si="52"/>
        <v>0</v>
      </c>
      <c r="I517" s="158">
        <f t="shared" si="53"/>
        <v>0</v>
      </c>
      <c r="J517" s="157">
        <f t="shared" si="54"/>
        <v>0</v>
      </c>
      <c r="K517" s="157">
        <v>0</v>
      </c>
      <c r="L517" s="159">
        <f t="shared" si="55"/>
        <v>0</v>
      </c>
      <c r="M517" s="157">
        <v>0</v>
      </c>
    </row>
    <row r="518" spans="1:13" s="67" customFormat="1" ht="15.75" customHeight="1" x14ac:dyDescent="0.2">
      <c r="A518" s="48">
        <v>22</v>
      </c>
      <c r="B518" s="166" t="s">
        <v>403</v>
      </c>
      <c r="C518" s="166" t="s">
        <v>405</v>
      </c>
      <c r="D518" s="157">
        <v>1900</v>
      </c>
      <c r="E518" s="157">
        <f>+'SMT KIT Rcvd '!D517</f>
        <v>0</v>
      </c>
      <c r="F518" s="157">
        <f>+'Excise Dispatch '!D517</f>
        <v>0</v>
      </c>
      <c r="G518" s="157">
        <f>+'PACK Prod'!D517</f>
        <v>0</v>
      </c>
      <c r="H518" s="157">
        <f t="shared" si="52"/>
        <v>1900</v>
      </c>
      <c r="I518" s="158">
        <f t="shared" si="53"/>
        <v>1900</v>
      </c>
      <c r="J518" s="157">
        <f t="shared" si="54"/>
        <v>0</v>
      </c>
      <c r="K518" s="157">
        <v>0</v>
      </c>
      <c r="L518" s="159">
        <f t="shared" si="55"/>
        <v>-1900</v>
      </c>
      <c r="M518" s="157">
        <v>1900</v>
      </c>
    </row>
    <row r="519" spans="1:13" s="67" customFormat="1" ht="15.75" customHeight="1" x14ac:dyDescent="0.2">
      <c r="A519" s="48">
        <v>23</v>
      </c>
      <c r="B519" s="166" t="s">
        <v>404</v>
      </c>
      <c r="C519" s="166" t="s">
        <v>406</v>
      </c>
      <c r="D519" s="157">
        <v>48</v>
      </c>
      <c r="E519" s="157">
        <f>+'SMT KIT Rcvd '!D518</f>
        <v>0</v>
      </c>
      <c r="F519" s="157">
        <f>+'Excise Dispatch '!D518</f>
        <v>48</v>
      </c>
      <c r="G519" s="157">
        <f>+'PACK Prod'!D518</f>
        <v>0</v>
      </c>
      <c r="H519" s="157">
        <f t="shared" si="52"/>
        <v>0</v>
      </c>
      <c r="I519" s="158">
        <f t="shared" si="53"/>
        <v>0</v>
      </c>
      <c r="J519" s="157">
        <f t="shared" si="54"/>
        <v>0</v>
      </c>
      <c r="K519" s="157">
        <v>0</v>
      </c>
      <c r="L519" s="159">
        <f t="shared" si="55"/>
        <v>-48</v>
      </c>
      <c r="M519" s="157">
        <v>48</v>
      </c>
    </row>
    <row r="520" spans="1:13" s="67" customFormat="1" ht="15.75" customHeight="1" x14ac:dyDescent="0.2">
      <c r="A520" s="48">
        <v>24</v>
      </c>
      <c r="B520" s="176" t="s">
        <v>959</v>
      </c>
      <c r="C520" s="176" t="s">
        <v>958</v>
      </c>
      <c r="D520" s="157">
        <v>7911</v>
      </c>
      <c r="E520" s="157">
        <f>+'SMT KIT Rcvd '!D519</f>
        <v>0</v>
      </c>
      <c r="F520" s="157">
        <f>+'Excise Dispatch '!D519</f>
        <v>7911</v>
      </c>
      <c r="G520" s="157">
        <f>+'PACK Prod'!D519</f>
        <v>7911</v>
      </c>
      <c r="H520" s="157">
        <f t="shared" si="52"/>
        <v>0</v>
      </c>
      <c r="I520" s="158">
        <f t="shared" si="53"/>
        <v>0</v>
      </c>
      <c r="J520" s="157">
        <f t="shared" si="54"/>
        <v>0</v>
      </c>
      <c r="K520" s="157">
        <v>0</v>
      </c>
      <c r="L520" s="159">
        <f t="shared" si="55"/>
        <v>-7911</v>
      </c>
      <c r="M520" s="157">
        <v>0</v>
      </c>
    </row>
    <row r="521" spans="1:13" s="67" customFormat="1" ht="15.75" customHeight="1" x14ac:dyDescent="0.2">
      <c r="A521" s="48">
        <v>25</v>
      </c>
      <c r="B521" s="166" t="s">
        <v>641</v>
      </c>
      <c r="C521" s="166" t="s">
        <v>639</v>
      </c>
      <c r="D521" s="157">
        <v>0</v>
      </c>
      <c r="E521" s="157">
        <f>+'SMT KIT Rcvd '!D520</f>
        <v>1030</v>
      </c>
      <c r="F521" s="157">
        <f>+'Excise Dispatch '!D520</f>
        <v>1030</v>
      </c>
      <c r="G521" s="157">
        <f>+'PACK Prod'!D520</f>
        <v>1030</v>
      </c>
      <c r="H521" s="157">
        <f t="shared" si="52"/>
        <v>0</v>
      </c>
      <c r="I521" s="158">
        <f t="shared" si="53"/>
        <v>0</v>
      </c>
      <c r="J521" s="157">
        <f t="shared" si="54"/>
        <v>0</v>
      </c>
      <c r="K521" s="157">
        <v>1030</v>
      </c>
      <c r="L521" s="159">
        <f t="shared" si="55"/>
        <v>0</v>
      </c>
      <c r="M521" s="157">
        <v>0</v>
      </c>
    </row>
    <row r="522" spans="1:13" s="67" customFormat="1" ht="15.75" customHeight="1" x14ac:dyDescent="0.2">
      <c r="A522" s="48">
        <v>26</v>
      </c>
      <c r="B522" s="166" t="s">
        <v>642</v>
      </c>
      <c r="C522" s="166" t="s">
        <v>640</v>
      </c>
      <c r="D522" s="157">
        <v>399</v>
      </c>
      <c r="E522" s="157">
        <f>+'SMT KIT Rcvd '!D521</f>
        <v>0</v>
      </c>
      <c r="F522" s="157">
        <f>+'Excise Dispatch '!D521</f>
        <v>0</v>
      </c>
      <c r="G522" s="157">
        <f>+'PACK Prod'!D521</f>
        <v>0</v>
      </c>
      <c r="H522" s="157">
        <f t="shared" si="52"/>
        <v>399</v>
      </c>
      <c r="I522" s="158">
        <f t="shared" si="53"/>
        <v>399</v>
      </c>
      <c r="J522" s="157">
        <f t="shared" si="54"/>
        <v>0</v>
      </c>
      <c r="K522" s="157">
        <v>0</v>
      </c>
      <c r="L522" s="159">
        <f t="shared" si="55"/>
        <v>-399</v>
      </c>
      <c r="M522" s="157">
        <v>399</v>
      </c>
    </row>
    <row r="523" spans="1:13" s="67" customFormat="1" ht="15.75" customHeight="1" x14ac:dyDescent="0.2">
      <c r="A523" s="48">
        <v>27</v>
      </c>
      <c r="B523" s="166" t="s">
        <v>366</v>
      </c>
      <c r="C523" s="166" t="s">
        <v>365</v>
      </c>
      <c r="D523" s="157">
        <v>2000</v>
      </c>
      <c r="E523" s="157">
        <f>+'SMT KIT Rcvd '!D522</f>
        <v>0</v>
      </c>
      <c r="F523" s="157">
        <f>+'Excise Dispatch '!D522</f>
        <v>0</v>
      </c>
      <c r="G523" s="157">
        <f>+'PACK Prod'!D522</f>
        <v>0</v>
      </c>
      <c r="H523" s="157">
        <f t="shared" si="52"/>
        <v>2000</v>
      </c>
      <c r="I523" s="158">
        <f t="shared" si="53"/>
        <v>2000</v>
      </c>
      <c r="J523" s="157">
        <f t="shared" si="54"/>
        <v>0</v>
      </c>
      <c r="K523" s="157">
        <v>0</v>
      </c>
      <c r="L523" s="159">
        <f t="shared" si="55"/>
        <v>-2000</v>
      </c>
      <c r="M523" s="157">
        <v>2000</v>
      </c>
    </row>
    <row r="524" spans="1:13" s="67" customFormat="1" ht="15.75" customHeight="1" x14ac:dyDescent="0.2">
      <c r="A524" s="48">
        <v>28</v>
      </c>
      <c r="B524" s="166" t="s">
        <v>218</v>
      </c>
      <c r="C524" s="166" t="s">
        <v>217</v>
      </c>
      <c r="D524" s="157">
        <v>350</v>
      </c>
      <c r="E524" s="157">
        <f>+'SMT KIT Rcvd '!D523</f>
        <v>0</v>
      </c>
      <c r="F524" s="157">
        <f>+'Excise Dispatch '!D523</f>
        <v>350</v>
      </c>
      <c r="G524" s="157">
        <f>+'PACK Prod'!D523</f>
        <v>0</v>
      </c>
      <c r="H524" s="157">
        <f t="shared" si="52"/>
        <v>0</v>
      </c>
      <c r="I524" s="158">
        <f t="shared" si="53"/>
        <v>0</v>
      </c>
      <c r="J524" s="157">
        <f t="shared" si="54"/>
        <v>0</v>
      </c>
      <c r="K524" s="157">
        <v>0</v>
      </c>
      <c r="L524" s="159">
        <f t="shared" si="55"/>
        <v>-350</v>
      </c>
      <c r="M524" s="157">
        <v>350</v>
      </c>
    </row>
    <row r="525" spans="1:13" s="67" customFormat="1" ht="15.75" customHeight="1" x14ac:dyDescent="0.2">
      <c r="A525" s="48">
        <v>29</v>
      </c>
      <c r="B525" s="166" t="s">
        <v>426</v>
      </c>
      <c r="C525" s="166" t="s">
        <v>427</v>
      </c>
      <c r="D525" s="157">
        <v>0</v>
      </c>
      <c r="E525" s="157">
        <f>+'SMT KIT Rcvd '!D524</f>
        <v>0</v>
      </c>
      <c r="F525" s="157">
        <f>+'Excise Dispatch '!D524</f>
        <v>0</v>
      </c>
      <c r="G525" s="157">
        <f>+'PACK Prod'!D524</f>
        <v>0</v>
      </c>
      <c r="H525" s="157">
        <f t="shared" si="52"/>
        <v>0</v>
      </c>
      <c r="I525" s="158">
        <f t="shared" si="53"/>
        <v>0</v>
      </c>
      <c r="J525" s="157">
        <f t="shared" si="54"/>
        <v>0</v>
      </c>
      <c r="K525" s="157">
        <v>0</v>
      </c>
      <c r="L525" s="159">
        <f t="shared" si="55"/>
        <v>0</v>
      </c>
      <c r="M525" s="157">
        <v>0</v>
      </c>
    </row>
    <row r="526" spans="1:13" s="67" customFormat="1" ht="15.75" customHeight="1" x14ac:dyDescent="0.2">
      <c r="A526" s="48">
        <v>30</v>
      </c>
      <c r="B526" s="166" t="s">
        <v>130</v>
      </c>
      <c r="C526" s="166" t="s">
        <v>129</v>
      </c>
      <c r="D526" s="157">
        <v>0</v>
      </c>
      <c r="E526" s="157">
        <f>+'SMT KIT Rcvd '!D525</f>
        <v>0</v>
      </c>
      <c r="F526" s="157">
        <f>+'Excise Dispatch '!D525</f>
        <v>0</v>
      </c>
      <c r="G526" s="157">
        <f>+'PACK Prod'!D525</f>
        <v>0</v>
      </c>
      <c r="H526" s="157">
        <f t="shared" si="52"/>
        <v>0</v>
      </c>
      <c r="I526" s="158">
        <f t="shared" si="53"/>
        <v>0</v>
      </c>
      <c r="J526" s="157">
        <f t="shared" si="54"/>
        <v>0</v>
      </c>
      <c r="K526" s="157">
        <v>0</v>
      </c>
      <c r="L526" s="159">
        <f t="shared" si="55"/>
        <v>0</v>
      </c>
      <c r="M526" s="157">
        <v>0</v>
      </c>
    </row>
    <row r="527" spans="1:13" s="67" customFormat="1" ht="15.75" customHeight="1" x14ac:dyDescent="0.2">
      <c r="A527" s="48">
        <v>31</v>
      </c>
      <c r="B527" s="166" t="s">
        <v>724</v>
      </c>
      <c r="C527" s="166" t="s">
        <v>721</v>
      </c>
      <c r="D527" s="157">
        <v>0</v>
      </c>
      <c r="E527" s="157">
        <f>+'SMT KIT Rcvd '!D526</f>
        <v>1500</v>
      </c>
      <c r="F527" s="157">
        <f>+'Excise Dispatch '!D526</f>
        <v>1500</v>
      </c>
      <c r="G527" s="157">
        <f>+'PACK Prod'!D526</f>
        <v>1500</v>
      </c>
      <c r="H527" s="157">
        <f t="shared" si="52"/>
        <v>0</v>
      </c>
      <c r="I527" s="158">
        <f t="shared" si="53"/>
        <v>0</v>
      </c>
      <c r="J527" s="157">
        <f t="shared" si="54"/>
        <v>0</v>
      </c>
      <c r="K527" s="157">
        <v>1500</v>
      </c>
      <c r="L527" s="159">
        <f t="shared" si="55"/>
        <v>0</v>
      </c>
      <c r="M527" s="157">
        <v>0</v>
      </c>
    </row>
    <row r="528" spans="1:13" s="67" customFormat="1" ht="15.75" customHeight="1" x14ac:dyDescent="0.2">
      <c r="A528" s="48">
        <v>32</v>
      </c>
      <c r="B528" s="166" t="s">
        <v>725</v>
      </c>
      <c r="C528" s="166" t="s">
        <v>722</v>
      </c>
      <c r="D528" s="157">
        <v>1310</v>
      </c>
      <c r="E528" s="157">
        <f>+'SMT KIT Rcvd '!D527</f>
        <v>0</v>
      </c>
      <c r="F528" s="157">
        <f>+'Excise Dispatch '!D527</f>
        <v>500</v>
      </c>
      <c r="G528" s="157">
        <f>+'PACK Prod'!D527</f>
        <v>0</v>
      </c>
      <c r="H528" s="157">
        <f t="shared" si="52"/>
        <v>810</v>
      </c>
      <c r="I528" s="158">
        <f t="shared" si="53"/>
        <v>810</v>
      </c>
      <c r="J528" s="157">
        <f t="shared" si="54"/>
        <v>0</v>
      </c>
      <c r="K528" s="157">
        <v>0</v>
      </c>
      <c r="L528" s="159">
        <f t="shared" si="55"/>
        <v>-1310</v>
      </c>
      <c r="M528" s="157">
        <v>1310</v>
      </c>
    </row>
    <row r="529" spans="1:13" s="67" customFormat="1" ht="15.75" customHeight="1" x14ac:dyDescent="0.2">
      <c r="A529" s="48">
        <v>33</v>
      </c>
      <c r="B529" s="166" t="s">
        <v>726</v>
      </c>
      <c r="C529" s="166" t="s">
        <v>723</v>
      </c>
      <c r="D529" s="157">
        <v>1480</v>
      </c>
      <c r="E529" s="157">
        <f>+'SMT KIT Rcvd '!D528</f>
        <v>0</v>
      </c>
      <c r="F529" s="157">
        <f>+'Excise Dispatch '!D528</f>
        <v>0</v>
      </c>
      <c r="G529" s="157">
        <f>+'PACK Prod'!D528</f>
        <v>0</v>
      </c>
      <c r="H529" s="157">
        <f t="shared" si="52"/>
        <v>1480</v>
      </c>
      <c r="I529" s="158">
        <f t="shared" si="53"/>
        <v>1480</v>
      </c>
      <c r="J529" s="157">
        <f t="shared" si="54"/>
        <v>0</v>
      </c>
      <c r="K529" s="157">
        <v>0</v>
      </c>
      <c r="L529" s="159">
        <f t="shared" si="55"/>
        <v>-1480</v>
      </c>
      <c r="M529" s="157">
        <v>1480</v>
      </c>
    </row>
    <row r="530" spans="1:13" s="67" customFormat="1" ht="15.75" customHeight="1" x14ac:dyDescent="0.2">
      <c r="A530" s="48">
        <v>34</v>
      </c>
      <c r="B530" s="166" t="s">
        <v>260</v>
      </c>
      <c r="C530" s="166" t="s">
        <v>259</v>
      </c>
      <c r="D530" s="157">
        <f>300+142</f>
        <v>442</v>
      </c>
      <c r="E530" s="157">
        <f>+'SMT KIT Rcvd '!D529</f>
        <v>2550</v>
      </c>
      <c r="F530" s="157">
        <f>+'Excise Dispatch '!D529</f>
        <v>2850</v>
      </c>
      <c r="G530" s="157">
        <f>+'PACK Prod'!D529</f>
        <v>2400</v>
      </c>
      <c r="H530" s="157">
        <f t="shared" si="52"/>
        <v>142</v>
      </c>
      <c r="I530" s="158">
        <f t="shared" si="53"/>
        <v>142</v>
      </c>
      <c r="J530" s="157">
        <f t="shared" si="54"/>
        <v>0</v>
      </c>
      <c r="K530" s="157">
        <v>2550</v>
      </c>
      <c r="L530" s="159">
        <f t="shared" si="55"/>
        <v>-442</v>
      </c>
      <c r="M530" s="157">
        <f>450+142</f>
        <v>592</v>
      </c>
    </row>
    <row r="531" spans="1:13" s="67" customFormat="1" ht="15.75" customHeight="1" x14ac:dyDescent="0.2">
      <c r="A531" s="48">
        <v>35</v>
      </c>
      <c r="B531" s="166" t="s">
        <v>171</v>
      </c>
      <c r="C531" s="166" t="s">
        <v>170</v>
      </c>
      <c r="D531" s="157">
        <v>0</v>
      </c>
      <c r="E531" s="157">
        <f>+'SMT KIT Rcvd '!D530</f>
        <v>0</v>
      </c>
      <c r="F531" s="157">
        <f>+'Excise Dispatch '!D530</f>
        <v>0</v>
      </c>
      <c r="G531" s="157">
        <f>+'PACK Prod'!D530</f>
        <v>0</v>
      </c>
      <c r="H531" s="157">
        <f t="shared" si="52"/>
        <v>0</v>
      </c>
      <c r="I531" s="158">
        <f t="shared" si="53"/>
        <v>0</v>
      </c>
      <c r="J531" s="157">
        <f t="shared" si="54"/>
        <v>0</v>
      </c>
      <c r="K531" s="157">
        <v>0</v>
      </c>
      <c r="L531" s="159">
        <f t="shared" si="55"/>
        <v>0</v>
      </c>
      <c r="M531" s="157">
        <v>0</v>
      </c>
    </row>
    <row r="532" spans="1:13" s="67" customFormat="1" ht="15.75" customHeight="1" x14ac:dyDescent="0.2">
      <c r="A532" s="48">
        <v>36</v>
      </c>
      <c r="B532" s="166" t="s">
        <v>645</v>
      </c>
      <c r="C532" s="166" t="s">
        <v>643</v>
      </c>
      <c r="D532" s="157">
        <v>0</v>
      </c>
      <c r="E532" s="157">
        <f>+'SMT KIT Rcvd '!D531</f>
        <v>100</v>
      </c>
      <c r="F532" s="157">
        <f>+'Excise Dispatch '!D531</f>
        <v>100</v>
      </c>
      <c r="G532" s="157">
        <f>+'PACK Prod'!D531</f>
        <v>100</v>
      </c>
      <c r="H532" s="157">
        <f t="shared" si="52"/>
        <v>0</v>
      </c>
      <c r="I532" s="158">
        <f t="shared" si="53"/>
        <v>0</v>
      </c>
      <c r="J532" s="157">
        <f t="shared" si="54"/>
        <v>0</v>
      </c>
      <c r="K532" s="157">
        <v>100</v>
      </c>
      <c r="L532" s="159">
        <f t="shared" si="55"/>
        <v>0</v>
      </c>
      <c r="M532" s="157">
        <v>0</v>
      </c>
    </row>
    <row r="533" spans="1:13" s="67" customFormat="1" ht="15.75" customHeight="1" x14ac:dyDescent="0.2">
      <c r="A533" s="48">
        <v>37</v>
      </c>
      <c r="B533" s="166" t="s">
        <v>646</v>
      </c>
      <c r="C533" s="166" t="s">
        <v>644</v>
      </c>
      <c r="D533" s="157">
        <v>0</v>
      </c>
      <c r="E533" s="157">
        <f>+'SMT KIT Rcvd '!D532</f>
        <v>0</v>
      </c>
      <c r="F533" s="157">
        <f>+'Excise Dispatch '!D532</f>
        <v>0</v>
      </c>
      <c r="G533" s="157">
        <f>+'PACK Prod'!D532</f>
        <v>0</v>
      </c>
      <c r="H533" s="157">
        <f t="shared" si="52"/>
        <v>0</v>
      </c>
      <c r="I533" s="158">
        <f t="shared" si="53"/>
        <v>0</v>
      </c>
      <c r="J533" s="157">
        <f t="shared" si="54"/>
        <v>0</v>
      </c>
      <c r="K533" s="157">
        <v>0</v>
      </c>
      <c r="L533" s="159">
        <f t="shared" si="55"/>
        <v>0</v>
      </c>
      <c r="M533" s="157">
        <v>0</v>
      </c>
    </row>
    <row r="534" spans="1:13" s="67" customFormat="1" ht="15.75" customHeight="1" x14ac:dyDescent="0.2">
      <c r="A534" s="48">
        <v>38</v>
      </c>
      <c r="B534" s="176" t="s">
        <v>1116</v>
      </c>
      <c r="C534" s="176" t="s">
        <v>1115</v>
      </c>
      <c r="D534" s="157">
        <v>0</v>
      </c>
      <c r="E534" s="157">
        <f>+'SMT KIT Rcvd '!D533</f>
        <v>500</v>
      </c>
      <c r="F534" s="157">
        <f>+'Excise Dispatch '!D533</f>
        <v>500</v>
      </c>
      <c r="G534" s="157">
        <f>+'PACK Prod'!D533</f>
        <v>500</v>
      </c>
      <c r="H534" s="157">
        <f t="shared" si="52"/>
        <v>0</v>
      </c>
      <c r="I534" s="158">
        <f t="shared" si="53"/>
        <v>0</v>
      </c>
      <c r="J534" s="157">
        <f t="shared" si="54"/>
        <v>0</v>
      </c>
      <c r="K534" s="157">
        <v>500</v>
      </c>
      <c r="L534" s="159">
        <f t="shared" si="55"/>
        <v>0</v>
      </c>
      <c r="M534" s="157">
        <v>0</v>
      </c>
    </row>
    <row r="535" spans="1:13" s="67" customFormat="1" ht="15.75" customHeight="1" x14ac:dyDescent="0.2">
      <c r="A535" s="48">
        <v>39</v>
      </c>
      <c r="B535" s="166" t="s">
        <v>531</v>
      </c>
      <c r="C535" s="166" t="s">
        <v>530</v>
      </c>
      <c r="D535" s="157">
        <v>0</v>
      </c>
      <c r="E535" s="157">
        <f>+'SMT KIT Rcvd '!D534</f>
        <v>1300</v>
      </c>
      <c r="F535" s="157">
        <f>+'Excise Dispatch '!D534</f>
        <v>0</v>
      </c>
      <c r="G535" s="157">
        <f>+'PACK Prod'!D534</f>
        <v>1300</v>
      </c>
      <c r="H535" s="157">
        <f t="shared" si="52"/>
        <v>1300</v>
      </c>
      <c r="I535" s="158">
        <f t="shared" si="53"/>
        <v>1300</v>
      </c>
      <c r="J535" s="157">
        <f t="shared" si="54"/>
        <v>0</v>
      </c>
      <c r="K535" s="157">
        <v>1300</v>
      </c>
      <c r="L535" s="159">
        <f t="shared" si="55"/>
        <v>0</v>
      </c>
      <c r="M535" s="157">
        <v>0</v>
      </c>
    </row>
    <row r="536" spans="1:13" s="67" customFormat="1" ht="15.75" customHeight="1" x14ac:dyDescent="0.2">
      <c r="A536" s="48">
        <v>40</v>
      </c>
      <c r="B536" s="166" t="s">
        <v>183</v>
      </c>
      <c r="C536" s="166" t="s">
        <v>182</v>
      </c>
      <c r="D536" s="157">
        <v>686</v>
      </c>
      <c r="E536" s="157">
        <f>+'SMT KIT Rcvd '!D535</f>
        <v>0</v>
      </c>
      <c r="F536" s="157">
        <f>+'Excise Dispatch '!D535</f>
        <v>0</v>
      </c>
      <c r="G536" s="157">
        <f>+'PACK Prod'!D535</f>
        <v>0</v>
      </c>
      <c r="H536" s="157">
        <f t="shared" si="52"/>
        <v>686</v>
      </c>
      <c r="I536" s="158">
        <f t="shared" si="53"/>
        <v>686</v>
      </c>
      <c r="J536" s="157">
        <f t="shared" si="54"/>
        <v>0</v>
      </c>
      <c r="K536" s="157">
        <v>0</v>
      </c>
      <c r="L536" s="159">
        <f t="shared" si="55"/>
        <v>-686</v>
      </c>
      <c r="M536" s="157">
        <v>686</v>
      </c>
    </row>
    <row r="537" spans="1:13" s="153" customFormat="1" ht="14.25" customHeight="1" x14ac:dyDescent="0.2">
      <c r="A537" s="151" t="s">
        <v>140</v>
      </c>
      <c r="B537" s="154" t="s">
        <v>97</v>
      </c>
      <c r="C537" s="162" t="s">
        <v>141</v>
      </c>
      <c r="D537" s="164">
        <f t="shared" ref="D537:M537" si="56">SUM(D538:D578)</f>
        <v>60000</v>
      </c>
      <c r="E537" s="164">
        <f t="shared" si="56"/>
        <v>340000</v>
      </c>
      <c r="F537" s="164">
        <f t="shared" si="56"/>
        <v>400000</v>
      </c>
      <c r="G537" s="164">
        <f t="shared" si="56"/>
        <v>340000</v>
      </c>
      <c r="H537" s="164">
        <f t="shared" si="56"/>
        <v>0</v>
      </c>
      <c r="I537" s="164">
        <f t="shared" si="56"/>
        <v>0</v>
      </c>
      <c r="J537" s="164">
        <f t="shared" si="56"/>
        <v>0</v>
      </c>
      <c r="K537" s="164">
        <f t="shared" si="56"/>
        <v>340000</v>
      </c>
      <c r="L537" s="164">
        <f t="shared" si="56"/>
        <v>-60000</v>
      </c>
      <c r="M537" s="164">
        <f t="shared" si="56"/>
        <v>60000</v>
      </c>
    </row>
    <row r="538" spans="1:13" s="67" customFormat="1" ht="15.75" customHeight="1" x14ac:dyDescent="0.2">
      <c r="A538" s="48">
        <v>1</v>
      </c>
      <c r="B538" s="166" t="s">
        <v>790</v>
      </c>
      <c r="C538" s="166" t="s">
        <v>785</v>
      </c>
      <c r="D538" s="157">
        <v>0</v>
      </c>
      <c r="E538" s="157">
        <f>+'SMT KIT Rcvd '!D537</f>
        <v>22500</v>
      </c>
      <c r="F538" s="157">
        <f>+'Excise Dispatch '!D537</f>
        <v>22500</v>
      </c>
      <c r="G538" s="157">
        <f>+'PACK Prod'!D537</f>
        <v>22500</v>
      </c>
      <c r="H538" s="157">
        <f t="shared" ref="H538" si="57">D538+E538-F538</f>
        <v>0</v>
      </c>
      <c r="I538" s="158">
        <f t="shared" ref="I538:I578" si="58">G538+M538-F538</f>
        <v>0</v>
      </c>
      <c r="J538" s="157">
        <f t="shared" ref="J538:J578" si="59">+H538-I538</f>
        <v>0</v>
      </c>
      <c r="K538" s="157">
        <v>22500</v>
      </c>
      <c r="L538" s="159">
        <f t="shared" ref="L538:L578" si="60">K538-D538-E538</f>
        <v>0</v>
      </c>
      <c r="M538" s="157">
        <v>0</v>
      </c>
    </row>
    <row r="539" spans="1:13" s="67" customFormat="1" ht="15.75" customHeight="1" x14ac:dyDescent="0.2">
      <c r="A539" s="48">
        <v>2</v>
      </c>
      <c r="B539" s="166" t="s">
        <v>791</v>
      </c>
      <c r="C539" s="166" t="s">
        <v>786</v>
      </c>
      <c r="D539" s="157">
        <v>0</v>
      </c>
      <c r="E539" s="157">
        <f>+'SMT KIT Rcvd '!D538</f>
        <v>38000</v>
      </c>
      <c r="F539" s="157">
        <f>+'Excise Dispatch '!D538</f>
        <v>38000</v>
      </c>
      <c r="G539" s="157">
        <f>+'PACK Prod'!D538</f>
        <v>38000</v>
      </c>
      <c r="H539" s="157">
        <f t="shared" ref="H539:H578" si="61">D539+E539-F539</f>
        <v>0</v>
      </c>
      <c r="I539" s="158">
        <f t="shared" si="58"/>
        <v>0</v>
      </c>
      <c r="J539" s="157">
        <f t="shared" si="59"/>
        <v>0</v>
      </c>
      <c r="K539" s="157">
        <v>38000</v>
      </c>
      <c r="L539" s="159">
        <f t="shared" si="60"/>
        <v>0</v>
      </c>
      <c r="M539" s="157">
        <v>0</v>
      </c>
    </row>
    <row r="540" spans="1:13" s="67" customFormat="1" ht="15.75" customHeight="1" x14ac:dyDescent="0.2">
      <c r="A540" s="48">
        <v>3</v>
      </c>
      <c r="B540" s="166" t="s">
        <v>792</v>
      </c>
      <c r="C540" s="166" t="s">
        <v>787</v>
      </c>
      <c r="D540" s="157">
        <v>0</v>
      </c>
      <c r="E540" s="157">
        <f>+'SMT KIT Rcvd '!D539</f>
        <v>15500</v>
      </c>
      <c r="F540" s="157">
        <f>+'Excise Dispatch '!D539</f>
        <v>15500</v>
      </c>
      <c r="G540" s="157">
        <f>+'PACK Prod'!D539</f>
        <v>15500</v>
      </c>
      <c r="H540" s="157">
        <f t="shared" si="61"/>
        <v>0</v>
      </c>
      <c r="I540" s="158">
        <f t="shared" si="58"/>
        <v>0</v>
      </c>
      <c r="J540" s="157">
        <f t="shared" si="59"/>
        <v>0</v>
      </c>
      <c r="K540" s="157">
        <v>15500</v>
      </c>
      <c r="L540" s="159">
        <f t="shared" si="60"/>
        <v>0</v>
      </c>
      <c r="M540" s="157">
        <v>0</v>
      </c>
    </row>
    <row r="541" spans="1:13" s="67" customFormat="1" ht="15.75" customHeight="1" x14ac:dyDescent="0.2">
      <c r="A541" s="48">
        <v>4</v>
      </c>
      <c r="B541" s="166" t="s">
        <v>793</v>
      </c>
      <c r="C541" s="166" t="s">
        <v>788</v>
      </c>
      <c r="D541" s="157">
        <v>0</v>
      </c>
      <c r="E541" s="157">
        <f>+'SMT KIT Rcvd '!D540</f>
        <v>18000</v>
      </c>
      <c r="F541" s="157">
        <f>+'Excise Dispatch '!D540</f>
        <v>18000</v>
      </c>
      <c r="G541" s="157">
        <f>+'PACK Prod'!D540</f>
        <v>18000</v>
      </c>
      <c r="H541" s="157">
        <f t="shared" si="61"/>
        <v>0</v>
      </c>
      <c r="I541" s="158">
        <f t="shared" si="58"/>
        <v>0</v>
      </c>
      <c r="J541" s="157">
        <f t="shared" si="59"/>
        <v>0</v>
      </c>
      <c r="K541" s="157">
        <v>18000</v>
      </c>
      <c r="L541" s="159">
        <f t="shared" si="60"/>
        <v>0</v>
      </c>
      <c r="M541" s="157">
        <v>0</v>
      </c>
    </row>
    <row r="542" spans="1:13" s="67" customFormat="1" ht="15.75" customHeight="1" x14ac:dyDescent="0.2">
      <c r="A542" s="48">
        <v>5</v>
      </c>
      <c r="B542" s="166" t="s">
        <v>794</v>
      </c>
      <c r="C542" s="166" t="s">
        <v>789</v>
      </c>
      <c r="D542" s="157">
        <v>0</v>
      </c>
      <c r="E542" s="157">
        <f>+'SMT KIT Rcvd '!D541</f>
        <v>23700</v>
      </c>
      <c r="F542" s="157">
        <f>+'Excise Dispatch '!D541</f>
        <v>23700</v>
      </c>
      <c r="G542" s="157">
        <f>+'PACK Prod'!D541</f>
        <v>23700</v>
      </c>
      <c r="H542" s="157">
        <f t="shared" si="61"/>
        <v>0</v>
      </c>
      <c r="I542" s="158">
        <f t="shared" si="58"/>
        <v>0</v>
      </c>
      <c r="J542" s="157">
        <f t="shared" si="59"/>
        <v>0</v>
      </c>
      <c r="K542" s="157">
        <v>23700</v>
      </c>
      <c r="L542" s="159">
        <f t="shared" si="60"/>
        <v>0</v>
      </c>
      <c r="M542" s="157">
        <v>0</v>
      </c>
    </row>
    <row r="543" spans="1:13" s="67" customFormat="1" ht="15.75" customHeight="1" x14ac:dyDescent="0.2">
      <c r="A543" s="48">
        <v>6</v>
      </c>
      <c r="B543" s="166" t="s">
        <v>666</v>
      </c>
      <c r="C543" s="166" t="s">
        <v>667</v>
      </c>
      <c r="D543" s="157">
        <v>0</v>
      </c>
      <c r="E543" s="157">
        <f>+'SMT KIT Rcvd '!D542</f>
        <v>1000</v>
      </c>
      <c r="F543" s="157">
        <f>+'Excise Dispatch '!D542</f>
        <v>1000</v>
      </c>
      <c r="G543" s="157">
        <f>+'PACK Prod'!D542</f>
        <v>1000</v>
      </c>
      <c r="H543" s="157">
        <f t="shared" si="61"/>
        <v>0</v>
      </c>
      <c r="I543" s="158">
        <f t="shared" si="58"/>
        <v>0</v>
      </c>
      <c r="J543" s="157">
        <f t="shared" si="59"/>
        <v>0</v>
      </c>
      <c r="K543" s="157">
        <v>1000</v>
      </c>
      <c r="L543" s="159">
        <f t="shared" si="60"/>
        <v>0</v>
      </c>
      <c r="M543" s="157">
        <v>0</v>
      </c>
    </row>
    <row r="544" spans="1:13" s="67" customFormat="1" ht="15.75" customHeight="1" x14ac:dyDescent="0.2">
      <c r="A544" s="48">
        <v>7</v>
      </c>
      <c r="B544" s="166" t="s">
        <v>668</v>
      </c>
      <c r="C544" s="166" t="s">
        <v>669</v>
      </c>
      <c r="D544" s="157">
        <v>0</v>
      </c>
      <c r="E544" s="157">
        <f>+'SMT KIT Rcvd '!D543</f>
        <v>2000</v>
      </c>
      <c r="F544" s="157">
        <f>+'Excise Dispatch '!D543</f>
        <v>2000</v>
      </c>
      <c r="G544" s="157">
        <f>+'PACK Prod'!D543</f>
        <v>2000</v>
      </c>
      <c r="H544" s="157">
        <f t="shared" si="61"/>
        <v>0</v>
      </c>
      <c r="I544" s="158">
        <f t="shared" si="58"/>
        <v>0</v>
      </c>
      <c r="J544" s="157">
        <f t="shared" si="59"/>
        <v>0</v>
      </c>
      <c r="K544" s="157">
        <v>2000</v>
      </c>
      <c r="L544" s="159">
        <f t="shared" si="60"/>
        <v>0</v>
      </c>
      <c r="M544" s="157">
        <v>0</v>
      </c>
    </row>
    <row r="545" spans="1:13" s="67" customFormat="1" ht="15.75" customHeight="1" x14ac:dyDescent="0.2">
      <c r="A545" s="48">
        <v>8</v>
      </c>
      <c r="B545" s="166" t="s">
        <v>720</v>
      </c>
      <c r="C545" s="166" t="s">
        <v>719</v>
      </c>
      <c r="D545" s="157">
        <v>0</v>
      </c>
      <c r="E545" s="157">
        <f>+'SMT KIT Rcvd '!D544</f>
        <v>0</v>
      </c>
      <c r="F545" s="157">
        <f>+'Excise Dispatch '!D544</f>
        <v>0</v>
      </c>
      <c r="G545" s="157">
        <f>+'PACK Prod'!D544</f>
        <v>0</v>
      </c>
      <c r="H545" s="157">
        <f t="shared" si="61"/>
        <v>0</v>
      </c>
      <c r="I545" s="158">
        <f t="shared" si="58"/>
        <v>0</v>
      </c>
      <c r="J545" s="157">
        <f t="shared" si="59"/>
        <v>0</v>
      </c>
      <c r="K545" s="157">
        <v>0</v>
      </c>
      <c r="L545" s="159">
        <f t="shared" si="60"/>
        <v>0</v>
      </c>
      <c r="M545" s="157">
        <v>0</v>
      </c>
    </row>
    <row r="546" spans="1:13" s="67" customFormat="1" ht="15.75" customHeight="1" x14ac:dyDescent="0.2">
      <c r="A546" s="48">
        <v>9</v>
      </c>
      <c r="B546" s="166" t="s">
        <v>796</v>
      </c>
      <c r="C546" s="166" t="s">
        <v>795</v>
      </c>
      <c r="D546" s="157">
        <v>0</v>
      </c>
      <c r="E546" s="157">
        <f>+'SMT KIT Rcvd '!D545</f>
        <v>87300</v>
      </c>
      <c r="F546" s="157">
        <f>+'Excise Dispatch '!D545</f>
        <v>87300</v>
      </c>
      <c r="G546" s="157">
        <f>+'PACK Prod'!D545</f>
        <v>87300</v>
      </c>
      <c r="H546" s="157">
        <f t="shared" si="61"/>
        <v>0</v>
      </c>
      <c r="I546" s="158">
        <f t="shared" si="58"/>
        <v>0</v>
      </c>
      <c r="J546" s="157">
        <f t="shared" si="59"/>
        <v>0</v>
      </c>
      <c r="K546" s="157">
        <v>87300</v>
      </c>
      <c r="L546" s="159">
        <f t="shared" si="60"/>
        <v>0</v>
      </c>
      <c r="M546" s="157">
        <v>0</v>
      </c>
    </row>
    <row r="547" spans="1:13" s="67" customFormat="1" ht="15.75" customHeight="1" x14ac:dyDescent="0.2">
      <c r="A547" s="48">
        <v>11</v>
      </c>
      <c r="B547" s="166" t="s">
        <v>648</v>
      </c>
      <c r="C547" s="166" t="s">
        <v>647</v>
      </c>
      <c r="D547" s="157">
        <v>0</v>
      </c>
      <c r="E547" s="157">
        <f>+'SMT KIT Rcvd '!D546</f>
        <v>0</v>
      </c>
      <c r="F547" s="157">
        <f>+'Excise Dispatch '!D546</f>
        <v>0</v>
      </c>
      <c r="G547" s="157">
        <f>+'PACK Prod'!D546</f>
        <v>0</v>
      </c>
      <c r="H547" s="157">
        <f t="shared" si="61"/>
        <v>0</v>
      </c>
      <c r="I547" s="158">
        <f t="shared" si="58"/>
        <v>0</v>
      </c>
      <c r="J547" s="157">
        <f t="shared" si="59"/>
        <v>0</v>
      </c>
      <c r="K547" s="157">
        <v>0</v>
      </c>
      <c r="L547" s="159">
        <f t="shared" si="60"/>
        <v>0</v>
      </c>
      <c r="M547" s="157">
        <v>0</v>
      </c>
    </row>
    <row r="548" spans="1:13" s="67" customFormat="1" ht="15.75" customHeight="1" x14ac:dyDescent="0.2">
      <c r="A548" s="48">
        <v>12</v>
      </c>
      <c r="B548" s="166" t="s">
        <v>139</v>
      </c>
      <c r="C548" s="166" t="s">
        <v>138</v>
      </c>
      <c r="D548" s="157">
        <v>0</v>
      </c>
      <c r="E548" s="157">
        <f>+'SMT KIT Rcvd '!D547</f>
        <v>0</v>
      </c>
      <c r="F548" s="157">
        <f>+'Excise Dispatch '!D547</f>
        <v>0</v>
      </c>
      <c r="G548" s="157">
        <f>+'PACK Prod'!D547</f>
        <v>0</v>
      </c>
      <c r="H548" s="157">
        <f t="shared" si="61"/>
        <v>0</v>
      </c>
      <c r="I548" s="158">
        <f t="shared" si="58"/>
        <v>0</v>
      </c>
      <c r="J548" s="157">
        <f t="shared" si="59"/>
        <v>0</v>
      </c>
      <c r="K548" s="157">
        <v>0</v>
      </c>
      <c r="L548" s="159">
        <f t="shared" si="60"/>
        <v>0</v>
      </c>
      <c r="M548" s="157">
        <v>0</v>
      </c>
    </row>
    <row r="549" spans="1:13" s="67" customFormat="1" ht="15.75" customHeight="1" x14ac:dyDescent="0.2">
      <c r="A549" s="48">
        <v>13</v>
      </c>
      <c r="B549" s="166" t="s">
        <v>656</v>
      </c>
      <c r="C549" s="166" t="s">
        <v>655</v>
      </c>
      <c r="D549" s="157">
        <v>0</v>
      </c>
      <c r="E549" s="157">
        <f>+'SMT KIT Rcvd '!D548</f>
        <v>0</v>
      </c>
      <c r="F549" s="157">
        <f>+'Excise Dispatch '!D548</f>
        <v>0</v>
      </c>
      <c r="G549" s="157">
        <f>+'PACK Prod'!D548</f>
        <v>0</v>
      </c>
      <c r="H549" s="157">
        <f t="shared" si="61"/>
        <v>0</v>
      </c>
      <c r="I549" s="158">
        <f t="shared" si="58"/>
        <v>0</v>
      </c>
      <c r="J549" s="157">
        <f t="shared" si="59"/>
        <v>0</v>
      </c>
      <c r="K549" s="157">
        <v>0</v>
      </c>
      <c r="L549" s="159">
        <f t="shared" si="60"/>
        <v>0</v>
      </c>
      <c r="M549" s="157">
        <v>0</v>
      </c>
    </row>
    <row r="550" spans="1:13" s="67" customFormat="1" ht="15.75" customHeight="1" x14ac:dyDescent="0.2">
      <c r="A550" s="48">
        <v>14</v>
      </c>
      <c r="B550" s="166" t="s">
        <v>133</v>
      </c>
      <c r="C550" s="166" t="s">
        <v>308</v>
      </c>
      <c r="D550" s="157">
        <v>0</v>
      </c>
      <c r="E550" s="157">
        <f>+'SMT KIT Rcvd '!D549</f>
        <v>0</v>
      </c>
      <c r="F550" s="157">
        <f>+'Excise Dispatch '!D549</f>
        <v>0</v>
      </c>
      <c r="G550" s="157">
        <f>+'PACK Prod'!D549</f>
        <v>0</v>
      </c>
      <c r="H550" s="157">
        <f t="shared" si="61"/>
        <v>0</v>
      </c>
      <c r="I550" s="158">
        <f t="shared" si="58"/>
        <v>0</v>
      </c>
      <c r="J550" s="157">
        <f t="shared" si="59"/>
        <v>0</v>
      </c>
      <c r="K550" s="157">
        <v>0</v>
      </c>
      <c r="L550" s="159">
        <f t="shared" si="60"/>
        <v>0</v>
      </c>
      <c r="M550" s="157">
        <v>0</v>
      </c>
    </row>
    <row r="551" spans="1:13" s="67" customFormat="1" ht="15.75" customHeight="1" x14ac:dyDescent="0.2">
      <c r="A551" s="48">
        <v>15</v>
      </c>
      <c r="B551" s="166" t="s">
        <v>136</v>
      </c>
      <c r="C551" s="166" t="s">
        <v>137</v>
      </c>
      <c r="D551" s="157">
        <v>0</v>
      </c>
      <c r="E551" s="157">
        <f>+'SMT KIT Rcvd '!D550</f>
        <v>0</v>
      </c>
      <c r="F551" s="157">
        <f>+'Excise Dispatch '!D550</f>
        <v>0</v>
      </c>
      <c r="G551" s="157">
        <f>+'PACK Prod'!D550</f>
        <v>0</v>
      </c>
      <c r="H551" s="157">
        <f t="shared" si="61"/>
        <v>0</v>
      </c>
      <c r="I551" s="158">
        <f t="shared" si="58"/>
        <v>0</v>
      </c>
      <c r="J551" s="157">
        <f t="shared" si="59"/>
        <v>0</v>
      </c>
      <c r="K551" s="157">
        <v>0</v>
      </c>
      <c r="L551" s="159">
        <f t="shared" si="60"/>
        <v>0</v>
      </c>
      <c r="M551" s="157">
        <v>0</v>
      </c>
    </row>
    <row r="552" spans="1:13" s="67" customFormat="1" ht="15.75" customHeight="1" x14ac:dyDescent="0.2">
      <c r="A552" s="48">
        <v>16</v>
      </c>
      <c r="B552" s="166" t="s">
        <v>660</v>
      </c>
      <c r="C552" s="166" t="s">
        <v>659</v>
      </c>
      <c r="D552" s="157">
        <v>0</v>
      </c>
      <c r="E552" s="157">
        <f>+'SMT KIT Rcvd '!D551</f>
        <v>0</v>
      </c>
      <c r="F552" s="157">
        <f>+'Excise Dispatch '!D551</f>
        <v>0</v>
      </c>
      <c r="G552" s="157">
        <f>+'PACK Prod'!D551</f>
        <v>0</v>
      </c>
      <c r="H552" s="157">
        <f t="shared" si="61"/>
        <v>0</v>
      </c>
      <c r="I552" s="158">
        <f t="shared" si="58"/>
        <v>0</v>
      </c>
      <c r="J552" s="157">
        <f t="shared" si="59"/>
        <v>0</v>
      </c>
      <c r="K552" s="157">
        <v>0</v>
      </c>
      <c r="L552" s="159">
        <f t="shared" si="60"/>
        <v>0</v>
      </c>
      <c r="M552" s="157">
        <v>0</v>
      </c>
    </row>
    <row r="553" spans="1:13" s="67" customFormat="1" ht="15.75" customHeight="1" x14ac:dyDescent="0.2">
      <c r="A553" s="48">
        <v>17</v>
      </c>
      <c r="B553" s="166" t="s">
        <v>549</v>
      </c>
      <c r="C553" s="166" t="s">
        <v>877</v>
      </c>
      <c r="D553" s="157">
        <v>0</v>
      </c>
      <c r="E553" s="157">
        <f>+'SMT KIT Rcvd '!D552</f>
        <v>0</v>
      </c>
      <c r="F553" s="157">
        <f>+'Excise Dispatch '!D552</f>
        <v>0</v>
      </c>
      <c r="G553" s="157">
        <f>+'PACK Prod'!D552</f>
        <v>0</v>
      </c>
      <c r="H553" s="157">
        <f t="shared" si="61"/>
        <v>0</v>
      </c>
      <c r="I553" s="158">
        <f t="shared" si="58"/>
        <v>0</v>
      </c>
      <c r="J553" s="157">
        <f t="shared" si="59"/>
        <v>0</v>
      </c>
      <c r="K553" s="157">
        <v>0</v>
      </c>
      <c r="L553" s="159">
        <f t="shared" si="60"/>
        <v>0</v>
      </c>
      <c r="M553" s="157">
        <v>0</v>
      </c>
    </row>
    <row r="554" spans="1:13" s="67" customFormat="1" ht="15.75" customHeight="1" x14ac:dyDescent="0.2">
      <c r="A554" s="48">
        <v>18</v>
      </c>
      <c r="B554" s="166" t="s">
        <v>315</v>
      </c>
      <c r="C554" s="166" t="s">
        <v>316</v>
      </c>
      <c r="D554" s="157">
        <v>0</v>
      </c>
      <c r="E554" s="157">
        <f>+'SMT KIT Rcvd '!D553</f>
        <v>0</v>
      </c>
      <c r="F554" s="157">
        <f>+'Excise Dispatch '!D553</f>
        <v>0</v>
      </c>
      <c r="G554" s="157">
        <f>+'PACK Prod'!D553</f>
        <v>0</v>
      </c>
      <c r="H554" s="157">
        <f t="shared" si="61"/>
        <v>0</v>
      </c>
      <c r="I554" s="158">
        <f t="shared" si="58"/>
        <v>0</v>
      </c>
      <c r="J554" s="157">
        <f t="shared" si="59"/>
        <v>0</v>
      </c>
      <c r="K554" s="157">
        <v>0</v>
      </c>
      <c r="L554" s="159">
        <f t="shared" si="60"/>
        <v>0</v>
      </c>
      <c r="M554" s="157">
        <v>0</v>
      </c>
    </row>
    <row r="555" spans="1:13" s="67" customFormat="1" ht="15.75" customHeight="1" x14ac:dyDescent="0.2">
      <c r="A555" s="48">
        <v>19</v>
      </c>
      <c r="B555" s="166" t="s">
        <v>294</v>
      </c>
      <c r="C555" s="166" t="s">
        <v>292</v>
      </c>
      <c r="D555" s="157">
        <v>12000</v>
      </c>
      <c r="E555" s="157">
        <f>+'SMT KIT Rcvd '!D554</f>
        <v>5000</v>
      </c>
      <c r="F555" s="157">
        <f>+'Excise Dispatch '!D554</f>
        <v>17000</v>
      </c>
      <c r="G555" s="157">
        <f>+'PACK Prod'!D554</f>
        <v>5000</v>
      </c>
      <c r="H555" s="157">
        <f t="shared" si="61"/>
        <v>0</v>
      </c>
      <c r="I555" s="158">
        <f t="shared" si="58"/>
        <v>0</v>
      </c>
      <c r="J555" s="157">
        <f t="shared" si="59"/>
        <v>0</v>
      </c>
      <c r="K555" s="157">
        <v>5000</v>
      </c>
      <c r="L555" s="159">
        <f t="shared" si="60"/>
        <v>-12000</v>
      </c>
      <c r="M555" s="157">
        <v>12000</v>
      </c>
    </row>
    <row r="556" spans="1:13" s="67" customFormat="1" ht="15.75" customHeight="1" x14ac:dyDescent="0.2">
      <c r="A556" s="48">
        <v>20</v>
      </c>
      <c r="B556" s="166" t="s">
        <v>295</v>
      </c>
      <c r="C556" s="166" t="s">
        <v>293</v>
      </c>
      <c r="D556" s="157">
        <v>12000</v>
      </c>
      <c r="E556" s="157">
        <f>+'SMT KIT Rcvd '!D555</f>
        <v>5000</v>
      </c>
      <c r="F556" s="157">
        <f>+'Excise Dispatch '!D555</f>
        <v>17000</v>
      </c>
      <c r="G556" s="157">
        <f>+'PACK Prod'!D555</f>
        <v>5000</v>
      </c>
      <c r="H556" s="157">
        <f t="shared" si="61"/>
        <v>0</v>
      </c>
      <c r="I556" s="158">
        <f t="shared" si="58"/>
        <v>0</v>
      </c>
      <c r="J556" s="157">
        <f t="shared" si="59"/>
        <v>0</v>
      </c>
      <c r="K556" s="157">
        <v>5000</v>
      </c>
      <c r="L556" s="159">
        <f t="shared" si="60"/>
        <v>-12000</v>
      </c>
      <c r="M556" s="157">
        <v>12000</v>
      </c>
    </row>
    <row r="557" spans="1:13" s="67" customFormat="1" ht="15.75" customHeight="1" x14ac:dyDescent="0.2">
      <c r="A557" s="48">
        <v>21</v>
      </c>
      <c r="B557" s="166" t="s">
        <v>389</v>
      </c>
      <c r="C557" s="166" t="s">
        <v>388</v>
      </c>
      <c r="D557" s="157">
        <v>0</v>
      </c>
      <c r="E557" s="157">
        <f>+'SMT KIT Rcvd '!D556</f>
        <v>0</v>
      </c>
      <c r="F557" s="157">
        <f>+'Excise Dispatch '!D556</f>
        <v>0</v>
      </c>
      <c r="G557" s="157">
        <f>+'PACK Prod'!D556</f>
        <v>0</v>
      </c>
      <c r="H557" s="157">
        <f t="shared" si="61"/>
        <v>0</v>
      </c>
      <c r="I557" s="158">
        <f t="shared" si="58"/>
        <v>0</v>
      </c>
      <c r="J557" s="157">
        <f t="shared" si="59"/>
        <v>0</v>
      </c>
      <c r="K557" s="157">
        <v>0</v>
      </c>
      <c r="L557" s="159">
        <f t="shared" si="60"/>
        <v>0</v>
      </c>
      <c r="M557" s="157">
        <v>0</v>
      </c>
    </row>
    <row r="558" spans="1:13" s="67" customFormat="1" ht="15.75" customHeight="1" x14ac:dyDescent="0.2">
      <c r="A558" s="48">
        <v>22</v>
      </c>
      <c r="B558" s="176" t="s">
        <v>860</v>
      </c>
      <c r="C558" s="176" t="s">
        <v>858</v>
      </c>
      <c r="D558" s="157">
        <v>0</v>
      </c>
      <c r="E558" s="157">
        <f>+'SMT KIT Rcvd '!D557</f>
        <v>15000</v>
      </c>
      <c r="F558" s="157">
        <f>+'Excise Dispatch '!D557</f>
        <v>15000</v>
      </c>
      <c r="G558" s="157">
        <f>+'PACK Prod'!D557</f>
        <v>15000</v>
      </c>
      <c r="H558" s="157">
        <f t="shared" si="61"/>
        <v>0</v>
      </c>
      <c r="I558" s="158">
        <f t="shared" si="58"/>
        <v>0</v>
      </c>
      <c r="J558" s="157">
        <f t="shared" si="59"/>
        <v>0</v>
      </c>
      <c r="K558" s="157">
        <v>15000</v>
      </c>
      <c r="L558" s="159">
        <f t="shared" si="60"/>
        <v>0</v>
      </c>
      <c r="M558" s="157">
        <v>0</v>
      </c>
    </row>
    <row r="559" spans="1:13" s="67" customFormat="1" ht="15.75" customHeight="1" x14ac:dyDescent="0.2">
      <c r="A559" s="48">
        <v>23</v>
      </c>
      <c r="B559" s="176" t="s">
        <v>861</v>
      </c>
      <c r="C559" s="176" t="s">
        <v>859</v>
      </c>
      <c r="D559" s="157">
        <v>0</v>
      </c>
      <c r="E559" s="157">
        <f>+'SMT KIT Rcvd '!D558</f>
        <v>12000</v>
      </c>
      <c r="F559" s="157">
        <f>+'Excise Dispatch '!D558</f>
        <v>12000</v>
      </c>
      <c r="G559" s="157">
        <f>+'PACK Prod'!D558</f>
        <v>12000</v>
      </c>
      <c r="H559" s="157">
        <f t="shared" si="61"/>
        <v>0</v>
      </c>
      <c r="I559" s="158">
        <f t="shared" si="58"/>
        <v>0</v>
      </c>
      <c r="J559" s="157">
        <f t="shared" si="59"/>
        <v>0</v>
      </c>
      <c r="K559" s="157">
        <v>12000</v>
      </c>
      <c r="L559" s="159">
        <f t="shared" si="60"/>
        <v>0</v>
      </c>
      <c r="M559" s="157">
        <v>0</v>
      </c>
    </row>
    <row r="560" spans="1:13" s="67" customFormat="1" ht="15.75" customHeight="1" x14ac:dyDescent="0.2">
      <c r="A560" s="48">
        <v>24</v>
      </c>
      <c r="B560" s="166" t="s">
        <v>818</v>
      </c>
      <c r="C560" s="166" t="s">
        <v>815</v>
      </c>
      <c r="D560" s="157">
        <v>0</v>
      </c>
      <c r="E560" s="157">
        <f>+'SMT KIT Rcvd '!D559</f>
        <v>0</v>
      </c>
      <c r="F560" s="157">
        <f>+'Excise Dispatch '!D559</f>
        <v>0</v>
      </c>
      <c r="G560" s="157">
        <f>+'PACK Prod'!D559</f>
        <v>0</v>
      </c>
      <c r="H560" s="157">
        <f t="shared" si="61"/>
        <v>0</v>
      </c>
      <c r="I560" s="158">
        <f t="shared" si="58"/>
        <v>0</v>
      </c>
      <c r="J560" s="157">
        <f t="shared" si="59"/>
        <v>0</v>
      </c>
      <c r="K560" s="157">
        <v>0</v>
      </c>
      <c r="L560" s="159">
        <f t="shared" si="60"/>
        <v>0</v>
      </c>
      <c r="M560" s="157">
        <v>0</v>
      </c>
    </row>
    <row r="561" spans="1:13" s="67" customFormat="1" ht="15.75" customHeight="1" x14ac:dyDescent="0.2">
      <c r="A561" s="48">
        <v>25</v>
      </c>
      <c r="B561" s="166" t="s">
        <v>819</v>
      </c>
      <c r="C561" s="166" t="s">
        <v>816</v>
      </c>
      <c r="D561" s="157">
        <v>0</v>
      </c>
      <c r="E561" s="157">
        <f>+'SMT KIT Rcvd '!D560</f>
        <v>2000</v>
      </c>
      <c r="F561" s="157">
        <f>+'Excise Dispatch '!D560</f>
        <v>2000</v>
      </c>
      <c r="G561" s="157">
        <f>+'PACK Prod'!D560</f>
        <v>2000</v>
      </c>
      <c r="H561" s="157">
        <f t="shared" si="61"/>
        <v>0</v>
      </c>
      <c r="I561" s="158">
        <f t="shared" si="58"/>
        <v>0</v>
      </c>
      <c r="J561" s="157">
        <f t="shared" si="59"/>
        <v>0</v>
      </c>
      <c r="K561" s="157">
        <v>2000</v>
      </c>
      <c r="L561" s="159">
        <f t="shared" si="60"/>
        <v>0</v>
      </c>
      <c r="M561" s="157">
        <v>0</v>
      </c>
    </row>
    <row r="562" spans="1:13" s="67" customFormat="1" ht="15.75" customHeight="1" x14ac:dyDescent="0.2">
      <c r="A562" s="48">
        <v>26</v>
      </c>
      <c r="B562" s="166" t="s">
        <v>820</v>
      </c>
      <c r="C562" s="166" t="s">
        <v>817</v>
      </c>
      <c r="D562" s="157">
        <v>0</v>
      </c>
      <c r="E562" s="157">
        <f>+'SMT KIT Rcvd '!D561</f>
        <v>0</v>
      </c>
      <c r="F562" s="157">
        <f>+'Excise Dispatch '!D561</f>
        <v>0</v>
      </c>
      <c r="G562" s="157">
        <f>+'PACK Prod'!D561</f>
        <v>0</v>
      </c>
      <c r="H562" s="157">
        <f t="shared" si="61"/>
        <v>0</v>
      </c>
      <c r="I562" s="158">
        <f t="shared" si="58"/>
        <v>0</v>
      </c>
      <c r="J562" s="157">
        <f t="shared" si="59"/>
        <v>0</v>
      </c>
      <c r="K562" s="157">
        <v>0</v>
      </c>
      <c r="L562" s="159">
        <f t="shared" si="60"/>
        <v>0</v>
      </c>
      <c r="M562" s="157">
        <v>0</v>
      </c>
    </row>
    <row r="563" spans="1:13" s="67" customFormat="1" ht="15.75" customHeight="1" x14ac:dyDescent="0.2">
      <c r="A563" s="48">
        <v>27</v>
      </c>
      <c r="B563" s="166" t="s">
        <v>164</v>
      </c>
      <c r="C563" s="166" t="s">
        <v>135</v>
      </c>
      <c r="D563" s="157">
        <v>0</v>
      </c>
      <c r="E563" s="157">
        <f>+'SMT KIT Rcvd '!D562</f>
        <v>0</v>
      </c>
      <c r="F563" s="157">
        <f>+'Excise Dispatch '!D562</f>
        <v>0</v>
      </c>
      <c r="G563" s="157">
        <f>+'PACK Prod'!D562</f>
        <v>0</v>
      </c>
      <c r="H563" s="157">
        <f t="shared" si="61"/>
        <v>0</v>
      </c>
      <c r="I563" s="158">
        <f t="shared" si="58"/>
        <v>0</v>
      </c>
      <c r="J563" s="157">
        <f t="shared" si="59"/>
        <v>0</v>
      </c>
      <c r="K563" s="157">
        <v>0</v>
      </c>
      <c r="L563" s="159">
        <f t="shared" si="60"/>
        <v>0</v>
      </c>
      <c r="M563" s="157">
        <v>0</v>
      </c>
    </row>
    <row r="564" spans="1:13" s="67" customFormat="1" ht="15.75" customHeight="1" x14ac:dyDescent="0.2">
      <c r="A564" s="48">
        <v>28</v>
      </c>
      <c r="B564" s="166" t="s">
        <v>421</v>
      </c>
      <c r="C564" s="166" t="s">
        <v>419</v>
      </c>
      <c r="D564" s="157">
        <v>12000</v>
      </c>
      <c r="E564" s="157">
        <f>+'SMT KIT Rcvd '!D563</f>
        <v>5000</v>
      </c>
      <c r="F564" s="157">
        <f>+'Excise Dispatch '!D563</f>
        <v>17000</v>
      </c>
      <c r="G564" s="157">
        <f>+'PACK Prod'!D563</f>
        <v>5000</v>
      </c>
      <c r="H564" s="157">
        <f t="shared" si="61"/>
        <v>0</v>
      </c>
      <c r="I564" s="158">
        <f t="shared" si="58"/>
        <v>0</v>
      </c>
      <c r="J564" s="157">
        <f t="shared" si="59"/>
        <v>0</v>
      </c>
      <c r="K564" s="157">
        <v>5000</v>
      </c>
      <c r="L564" s="159">
        <f t="shared" si="60"/>
        <v>-12000</v>
      </c>
      <c r="M564" s="157">
        <v>12000</v>
      </c>
    </row>
    <row r="565" spans="1:13" s="67" customFormat="1" ht="15.75" customHeight="1" x14ac:dyDescent="0.2">
      <c r="A565" s="48">
        <v>29</v>
      </c>
      <c r="B565" s="166" t="s">
        <v>422</v>
      </c>
      <c r="C565" s="166" t="s">
        <v>420</v>
      </c>
      <c r="D565" s="157">
        <v>12000</v>
      </c>
      <c r="E565" s="157">
        <f>+'SMT KIT Rcvd '!D564</f>
        <v>10000</v>
      </c>
      <c r="F565" s="157">
        <f>+'Excise Dispatch '!D564</f>
        <v>22000</v>
      </c>
      <c r="G565" s="157">
        <f>+'PACK Prod'!D564</f>
        <v>10000</v>
      </c>
      <c r="H565" s="157">
        <f t="shared" si="61"/>
        <v>0</v>
      </c>
      <c r="I565" s="158">
        <f t="shared" si="58"/>
        <v>0</v>
      </c>
      <c r="J565" s="157">
        <f t="shared" si="59"/>
        <v>0</v>
      </c>
      <c r="K565" s="157">
        <v>10000</v>
      </c>
      <c r="L565" s="159">
        <f t="shared" si="60"/>
        <v>-12000</v>
      </c>
      <c r="M565" s="157">
        <v>12000</v>
      </c>
    </row>
    <row r="566" spans="1:13" s="67" customFormat="1" ht="15.75" customHeight="1" x14ac:dyDescent="0.2">
      <c r="A566" s="48">
        <v>30</v>
      </c>
      <c r="B566" s="166" t="s">
        <v>165</v>
      </c>
      <c r="C566" s="166" t="s">
        <v>134</v>
      </c>
      <c r="D566" s="157">
        <v>0</v>
      </c>
      <c r="E566" s="157">
        <f>+'SMT KIT Rcvd '!D565</f>
        <v>0</v>
      </c>
      <c r="F566" s="157">
        <f>+'Excise Dispatch '!D565</f>
        <v>0</v>
      </c>
      <c r="G566" s="157">
        <f>+'PACK Prod'!D565</f>
        <v>0</v>
      </c>
      <c r="H566" s="157">
        <f t="shared" si="61"/>
        <v>0</v>
      </c>
      <c r="I566" s="158">
        <f t="shared" si="58"/>
        <v>0</v>
      </c>
      <c r="J566" s="157">
        <f t="shared" si="59"/>
        <v>0</v>
      </c>
      <c r="K566" s="157">
        <v>0</v>
      </c>
      <c r="L566" s="159">
        <f t="shared" si="60"/>
        <v>0</v>
      </c>
      <c r="M566" s="157">
        <v>0</v>
      </c>
    </row>
    <row r="567" spans="1:13" s="67" customFormat="1" ht="15.75" customHeight="1" x14ac:dyDescent="0.2">
      <c r="A567" s="48">
        <v>31</v>
      </c>
      <c r="B567" s="166" t="s">
        <v>549</v>
      </c>
      <c r="C567" s="166" t="s">
        <v>548</v>
      </c>
      <c r="D567" s="157">
        <v>0</v>
      </c>
      <c r="E567" s="157">
        <f>+'SMT KIT Rcvd '!D566</f>
        <v>43000</v>
      </c>
      <c r="F567" s="157">
        <f>+'Excise Dispatch '!D566</f>
        <v>43000</v>
      </c>
      <c r="G567" s="157">
        <f>+'PACK Prod'!D566</f>
        <v>43000</v>
      </c>
      <c r="H567" s="157">
        <f t="shared" si="61"/>
        <v>0</v>
      </c>
      <c r="I567" s="158">
        <f t="shared" si="58"/>
        <v>0</v>
      </c>
      <c r="J567" s="157">
        <f t="shared" si="59"/>
        <v>0</v>
      </c>
      <c r="K567" s="157">
        <v>43000</v>
      </c>
      <c r="L567" s="159">
        <f t="shared" si="60"/>
        <v>0</v>
      </c>
      <c r="M567" s="157">
        <v>0</v>
      </c>
    </row>
    <row r="568" spans="1:13" s="67" customFormat="1" ht="15.75" customHeight="1" x14ac:dyDescent="0.2">
      <c r="A568" s="48">
        <v>32</v>
      </c>
      <c r="B568" s="166" t="s">
        <v>539</v>
      </c>
      <c r="C568" s="166" t="s">
        <v>538</v>
      </c>
      <c r="D568" s="157">
        <v>0</v>
      </c>
      <c r="E568" s="157">
        <f>+'SMT KIT Rcvd '!D567</f>
        <v>0</v>
      </c>
      <c r="F568" s="157">
        <f>+'Excise Dispatch '!D567</f>
        <v>0</v>
      </c>
      <c r="G568" s="157">
        <f>+'PACK Prod'!D567</f>
        <v>0</v>
      </c>
      <c r="H568" s="157">
        <f t="shared" si="61"/>
        <v>0</v>
      </c>
      <c r="I568" s="158">
        <f t="shared" si="58"/>
        <v>0</v>
      </c>
      <c r="J568" s="157">
        <f t="shared" si="59"/>
        <v>0</v>
      </c>
      <c r="K568" s="157">
        <v>0</v>
      </c>
      <c r="L568" s="159">
        <f t="shared" si="60"/>
        <v>0</v>
      </c>
      <c r="M568" s="157">
        <v>0</v>
      </c>
    </row>
    <row r="569" spans="1:13" s="67" customFormat="1" ht="15.75" customHeight="1" x14ac:dyDescent="0.2">
      <c r="A569" s="48">
        <v>33</v>
      </c>
      <c r="B569" s="166" t="s">
        <v>904</v>
      </c>
      <c r="C569" s="166" t="s">
        <v>900</v>
      </c>
      <c r="D569" s="157">
        <v>0</v>
      </c>
      <c r="E569" s="157">
        <f>+'SMT KIT Rcvd '!D568</f>
        <v>3000</v>
      </c>
      <c r="F569" s="157">
        <f>+'Excise Dispatch '!D568</f>
        <v>3000</v>
      </c>
      <c r="G569" s="157">
        <f>+'PACK Prod'!D568</f>
        <v>3000</v>
      </c>
      <c r="H569" s="157">
        <f t="shared" si="61"/>
        <v>0</v>
      </c>
      <c r="I569" s="158">
        <f t="shared" si="58"/>
        <v>0</v>
      </c>
      <c r="J569" s="157">
        <f t="shared" si="59"/>
        <v>0</v>
      </c>
      <c r="K569" s="157">
        <v>3000</v>
      </c>
      <c r="L569" s="159">
        <f t="shared" si="60"/>
        <v>0</v>
      </c>
      <c r="M569" s="157">
        <v>0</v>
      </c>
    </row>
    <row r="570" spans="1:13" s="67" customFormat="1" ht="15.75" customHeight="1" x14ac:dyDescent="0.2">
      <c r="A570" s="48">
        <v>34</v>
      </c>
      <c r="B570" s="166" t="s">
        <v>905</v>
      </c>
      <c r="C570" s="166" t="s">
        <v>901</v>
      </c>
      <c r="D570" s="157">
        <v>0</v>
      </c>
      <c r="E570" s="157">
        <f>+'SMT KIT Rcvd '!D569</f>
        <v>3000</v>
      </c>
      <c r="F570" s="157">
        <f>+'Excise Dispatch '!D569</f>
        <v>3000</v>
      </c>
      <c r="G570" s="157">
        <f>+'PACK Prod'!D569</f>
        <v>3000</v>
      </c>
      <c r="H570" s="157">
        <f t="shared" si="61"/>
        <v>0</v>
      </c>
      <c r="I570" s="158">
        <f t="shared" si="58"/>
        <v>0</v>
      </c>
      <c r="J570" s="157">
        <f t="shared" si="59"/>
        <v>0</v>
      </c>
      <c r="K570" s="157">
        <v>3000</v>
      </c>
      <c r="L570" s="159">
        <f t="shared" si="60"/>
        <v>0</v>
      </c>
      <c r="M570" s="157">
        <v>0</v>
      </c>
    </row>
    <row r="571" spans="1:13" s="67" customFormat="1" ht="15.75" customHeight="1" x14ac:dyDescent="0.2">
      <c r="A571" s="48">
        <v>35</v>
      </c>
      <c r="B571" s="166" t="s">
        <v>906</v>
      </c>
      <c r="C571" s="166" t="s">
        <v>902</v>
      </c>
      <c r="D571" s="157">
        <v>0</v>
      </c>
      <c r="E571" s="157">
        <f>+'SMT KIT Rcvd '!D570</f>
        <v>4600</v>
      </c>
      <c r="F571" s="157">
        <f>+'Excise Dispatch '!D570</f>
        <v>4600</v>
      </c>
      <c r="G571" s="157">
        <f>+'PACK Prod'!D570</f>
        <v>4600</v>
      </c>
      <c r="H571" s="157">
        <f t="shared" si="61"/>
        <v>0</v>
      </c>
      <c r="I571" s="158">
        <f t="shared" si="58"/>
        <v>0</v>
      </c>
      <c r="J571" s="157">
        <f t="shared" si="59"/>
        <v>0</v>
      </c>
      <c r="K571" s="157">
        <v>4600</v>
      </c>
      <c r="L571" s="159">
        <f t="shared" si="60"/>
        <v>0</v>
      </c>
      <c r="M571" s="157">
        <v>0</v>
      </c>
    </row>
    <row r="572" spans="1:13" s="67" customFormat="1" ht="15.75" customHeight="1" x14ac:dyDescent="0.2">
      <c r="A572" s="48">
        <v>36</v>
      </c>
      <c r="B572" s="166" t="s">
        <v>907</v>
      </c>
      <c r="C572" s="166" t="s">
        <v>903</v>
      </c>
      <c r="D572" s="157">
        <v>0</v>
      </c>
      <c r="E572" s="157">
        <f>+'SMT KIT Rcvd '!D571</f>
        <v>2400</v>
      </c>
      <c r="F572" s="157">
        <f>+'Excise Dispatch '!D571</f>
        <v>2400</v>
      </c>
      <c r="G572" s="157">
        <f>+'PACK Prod'!D571</f>
        <v>2400</v>
      </c>
      <c r="H572" s="157">
        <f t="shared" si="61"/>
        <v>0</v>
      </c>
      <c r="I572" s="158">
        <f t="shared" si="58"/>
        <v>0</v>
      </c>
      <c r="J572" s="157">
        <f t="shared" si="59"/>
        <v>0</v>
      </c>
      <c r="K572" s="157">
        <v>2400</v>
      </c>
      <c r="L572" s="159">
        <f t="shared" si="60"/>
        <v>0</v>
      </c>
      <c r="M572" s="157">
        <v>0</v>
      </c>
    </row>
    <row r="573" spans="1:13" s="67" customFormat="1" ht="15.75" customHeight="1" x14ac:dyDescent="0.2">
      <c r="A573" s="48">
        <v>37</v>
      </c>
      <c r="B573" s="166" t="s">
        <v>579</v>
      </c>
      <c r="C573" s="166" t="s">
        <v>578</v>
      </c>
      <c r="D573" s="157">
        <v>0</v>
      </c>
      <c r="E573" s="157">
        <f>+'SMT KIT Rcvd '!D572</f>
        <v>0</v>
      </c>
      <c r="F573" s="157">
        <f>+'Excise Dispatch '!D572</f>
        <v>0</v>
      </c>
      <c r="G573" s="157">
        <f>+'PACK Prod'!D572</f>
        <v>0</v>
      </c>
      <c r="H573" s="157">
        <f t="shared" si="61"/>
        <v>0</v>
      </c>
      <c r="I573" s="158">
        <f t="shared" si="58"/>
        <v>0</v>
      </c>
      <c r="J573" s="157">
        <f t="shared" si="59"/>
        <v>0</v>
      </c>
      <c r="K573" s="157">
        <v>0</v>
      </c>
      <c r="L573" s="159">
        <f t="shared" si="60"/>
        <v>0</v>
      </c>
      <c r="M573" s="157">
        <v>0</v>
      </c>
    </row>
    <row r="574" spans="1:13" s="67" customFormat="1" ht="15.75" customHeight="1" x14ac:dyDescent="0.2">
      <c r="A574" s="48">
        <v>38</v>
      </c>
      <c r="B574" s="166" t="s">
        <v>322</v>
      </c>
      <c r="C574" s="166" t="s">
        <v>321</v>
      </c>
      <c r="D574" s="157">
        <v>12000</v>
      </c>
      <c r="E574" s="157">
        <f>+'SMT KIT Rcvd '!D573</f>
        <v>22000</v>
      </c>
      <c r="F574" s="157">
        <f>+'Excise Dispatch '!D573</f>
        <v>34000</v>
      </c>
      <c r="G574" s="157">
        <f>+'PACK Prod'!D573</f>
        <v>22000</v>
      </c>
      <c r="H574" s="157">
        <f t="shared" si="61"/>
        <v>0</v>
      </c>
      <c r="I574" s="158">
        <f t="shared" si="58"/>
        <v>0</v>
      </c>
      <c r="J574" s="157">
        <f t="shared" si="59"/>
        <v>0</v>
      </c>
      <c r="K574" s="157">
        <v>22000</v>
      </c>
      <c r="L574" s="159">
        <f t="shared" si="60"/>
        <v>-12000</v>
      </c>
      <c r="M574" s="157">
        <v>12000</v>
      </c>
    </row>
    <row r="575" spans="1:13" s="67" customFormat="1" ht="15.75" customHeight="1" x14ac:dyDescent="0.2">
      <c r="A575" s="48">
        <v>39</v>
      </c>
      <c r="B575" s="176" t="s">
        <v>933</v>
      </c>
      <c r="C575" s="176" t="s">
        <v>932</v>
      </c>
      <c r="D575" s="157">
        <v>0</v>
      </c>
      <c r="E575" s="157">
        <f>+'SMT KIT Rcvd '!D574</f>
        <v>0</v>
      </c>
      <c r="F575" s="157">
        <f>+'Excise Dispatch '!D574</f>
        <v>0</v>
      </c>
      <c r="G575" s="157">
        <f>+'PACK Prod'!D574</f>
        <v>0</v>
      </c>
      <c r="H575" s="157">
        <f t="shared" si="61"/>
        <v>0</v>
      </c>
      <c r="I575" s="158">
        <f t="shared" si="58"/>
        <v>0</v>
      </c>
      <c r="J575" s="157">
        <f t="shared" si="59"/>
        <v>0</v>
      </c>
      <c r="K575" s="157">
        <v>0</v>
      </c>
      <c r="L575" s="159">
        <f t="shared" si="60"/>
        <v>0</v>
      </c>
      <c r="M575" s="157">
        <v>0</v>
      </c>
    </row>
    <row r="576" spans="1:13" s="67" customFormat="1" ht="15.75" customHeight="1" x14ac:dyDescent="0.2">
      <c r="A576" s="48">
        <v>40</v>
      </c>
      <c r="B576" s="166" t="s">
        <v>132</v>
      </c>
      <c r="C576" s="166" t="s">
        <v>131</v>
      </c>
      <c r="D576" s="157">
        <v>0</v>
      </c>
      <c r="E576" s="157">
        <f>+'SMT KIT Rcvd '!D575</f>
        <v>0</v>
      </c>
      <c r="F576" s="157">
        <f>+'Excise Dispatch '!D575</f>
        <v>0</v>
      </c>
      <c r="G576" s="157">
        <f>+'PACK Prod'!D575</f>
        <v>0</v>
      </c>
      <c r="H576" s="157">
        <f t="shared" si="61"/>
        <v>0</v>
      </c>
      <c r="I576" s="158">
        <f t="shared" si="58"/>
        <v>0</v>
      </c>
      <c r="J576" s="157">
        <f t="shared" si="59"/>
        <v>0</v>
      </c>
      <c r="K576" s="157">
        <v>0</v>
      </c>
      <c r="L576" s="159">
        <f t="shared" si="60"/>
        <v>0</v>
      </c>
      <c r="M576" s="157">
        <v>0</v>
      </c>
    </row>
    <row r="577" spans="1:13" s="67" customFormat="1" ht="15.75" customHeight="1" x14ac:dyDescent="0.2">
      <c r="A577" s="48">
        <v>41</v>
      </c>
      <c r="B577" s="166" t="s">
        <v>136</v>
      </c>
      <c r="C577" s="166" t="s">
        <v>301</v>
      </c>
      <c r="D577" s="157">
        <v>0</v>
      </c>
      <c r="E577" s="157">
        <f>+'SMT KIT Rcvd '!D576</f>
        <v>0</v>
      </c>
      <c r="F577" s="157">
        <f>+'Excise Dispatch '!D576</f>
        <v>0</v>
      </c>
      <c r="G577" s="157">
        <f>+'PACK Prod'!D576</f>
        <v>0</v>
      </c>
      <c r="H577" s="157">
        <f t="shared" si="61"/>
        <v>0</v>
      </c>
      <c r="I577" s="158">
        <f t="shared" si="58"/>
        <v>0</v>
      </c>
      <c r="J577" s="157">
        <f t="shared" si="59"/>
        <v>0</v>
      </c>
      <c r="K577" s="157">
        <v>0</v>
      </c>
      <c r="L577" s="159">
        <f t="shared" si="60"/>
        <v>0</v>
      </c>
      <c r="M577" s="157">
        <v>0</v>
      </c>
    </row>
    <row r="578" spans="1:13" s="67" customFormat="1" ht="15.75" customHeight="1" x14ac:dyDescent="0.2">
      <c r="A578" s="48">
        <v>42</v>
      </c>
      <c r="B578" s="166" t="s">
        <v>683</v>
      </c>
      <c r="C578" s="166" t="s">
        <v>682</v>
      </c>
      <c r="D578" s="157">
        <v>0</v>
      </c>
      <c r="E578" s="157">
        <f>+'SMT KIT Rcvd '!D577</f>
        <v>0</v>
      </c>
      <c r="F578" s="157">
        <f>+'Excise Dispatch '!D577</f>
        <v>0</v>
      </c>
      <c r="G578" s="157">
        <f>+'PACK Prod'!D577</f>
        <v>0</v>
      </c>
      <c r="H578" s="157">
        <f t="shared" si="61"/>
        <v>0</v>
      </c>
      <c r="I578" s="158">
        <f t="shared" si="58"/>
        <v>0</v>
      </c>
      <c r="J578" s="157">
        <f t="shared" si="59"/>
        <v>0</v>
      </c>
      <c r="K578" s="157">
        <v>0</v>
      </c>
      <c r="L578" s="159">
        <f t="shared" si="60"/>
        <v>0</v>
      </c>
      <c r="M578" s="157">
        <v>0</v>
      </c>
    </row>
    <row r="579" spans="1:13" s="153" customFormat="1" ht="14.25" customHeight="1" x14ac:dyDescent="0.2">
      <c r="A579" s="186" t="s">
        <v>142</v>
      </c>
      <c r="B579" s="187"/>
      <c r="C579" s="188"/>
      <c r="D579" s="161">
        <f t="shared" ref="D579:M579" si="62">+D537+D496+D337+D304+D145+D102+D55+D23+D4</f>
        <v>813073</v>
      </c>
      <c r="E579" s="161">
        <f t="shared" si="62"/>
        <v>11399888</v>
      </c>
      <c r="F579" s="161">
        <f t="shared" si="62"/>
        <v>12076245</v>
      </c>
      <c r="G579" s="161">
        <f t="shared" si="62"/>
        <v>11845573</v>
      </c>
      <c r="H579" s="161">
        <f t="shared" si="62"/>
        <v>136716</v>
      </c>
      <c r="I579" s="161">
        <f t="shared" si="62"/>
        <v>136612</v>
      </c>
      <c r="J579" s="161">
        <f t="shared" si="62"/>
        <v>104</v>
      </c>
      <c r="K579" s="161">
        <f t="shared" si="62"/>
        <v>11399888</v>
      </c>
      <c r="L579" s="161">
        <f t="shared" si="62"/>
        <v>-813073</v>
      </c>
      <c r="M579" s="161">
        <f t="shared" si="62"/>
        <v>367284</v>
      </c>
    </row>
  </sheetData>
  <autoFilter ref="A4:M579" xr:uid="{00000000-0009-0000-0000-000003000000}"/>
  <mergeCells count="15">
    <mergeCell ref="A579:C579"/>
    <mergeCell ref="A1:B1"/>
    <mergeCell ref="A2:A3"/>
    <mergeCell ref="B2:B3"/>
    <mergeCell ref="E2:E3"/>
    <mergeCell ref="C2:C3"/>
    <mergeCell ref="C1:M1"/>
    <mergeCell ref="M2:M3"/>
    <mergeCell ref="F2:F3"/>
    <mergeCell ref="H2:H3"/>
    <mergeCell ref="G2:G3"/>
    <mergeCell ref="K2:K3"/>
    <mergeCell ref="L2:L3"/>
    <mergeCell ref="I2:I3"/>
    <mergeCell ref="J2:J3"/>
  </mergeCells>
  <conditionalFormatting sqref="C2:C3">
    <cfRule type="duplicateValues" dxfId="6210" priority="20681"/>
  </conditionalFormatting>
  <conditionalFormatting sqref="C5">
    <cfRule type="duplicateValues" dxfId="6209" priority="8600"/>
    <cfRule type="duplicateValues" dxfId="6208" priority="8603"/>
    <cfRule type="duplicateValues" dxfId="6207" priority="8601"/>
    <cfRule type="duplicateValues" dxfId="6206" priority="8602"/>
  </conditionalFormatting>
  <conditionalFormatting sqref="C6">
    <cfRule type="duplicateValues" dxfId="6205" priority="697"/>
  </conditionalFormatting>
  <conditionalFormatting sqref="C7">
    <cfRule type="duplicateValues" dxfId="6204" priority="1335"/>
    <cfRule type="duplicateValues" dxfId="6203" priority="1334"/>
    <cfRule type="duplicateValues" dxfId="6202" priority="1333"/>
    <cfRule type="duplicateValues" dxfId="6201" priority="1343"/>
    <cfRule type="duplicateValues" dxfId="6200" priority="1321"/>
    <cfRule type="duplicateValues" dxfId="6199" priority="1345"/>
    <cfRule type="duplicateValues" dxfId="6198" priority="1346"/>
    <cfRule type="duplicateValues" dxfId="6197" priority="1347"/>
    <cfRule type="duplicateValues" dxfId="6196" priority="1332"/>
    <cfRule type="duplicateValues" dxfId="6195" priority="1344"/>
    <cfRule type="duplicateValues" dxfId="6194" priority="1323"/>
    <cfRule type="duplicateValues" dxfId="6193" priority="1322"/>
    <cfRule type="duplicateValues" dxfId="6192" priority="1331"/>
    <cfRule type="duplicateValues" dxfId="6191" priority="1329"/>
    <cfRule type="duplicateValues" dxfId="6190" priority="1328"/>
    <cfRule type="duplicateValues" dxfId="6189" priority="1327"/>
    <cfRule type="duplicateValues" dxfId="6188" priority="1326"/>
    <cfRule type="duplicateValues" dxfId="6187" priority="1330"/>
    <cfRule type="duplicateValues" dxfId="6186" priority="1342"/>
    <cfRule type="duplicateValues" dxfId="6185" priority="1341"/>
    <cfRule type="duplicateValues" dxfId="6184" priority="1340"/>
    <cfRule type="duplicateValues" dxfId="6183" priority="1339"/>
    <cfRule type="duplicateValues" dxfId="6182" priority="1338"/>
    <cfRule type="duplicateValues" dxfId="6181" priority="1337"/>
    <cfRule type="duplicateValues" dxfId="6180" priority="1336"/>
  </conditionalFormatting>
  <conditionalFormatting sqref="C8">
    <cfRule type="duplicateValues" dxfId="6179" priority="90"/>
  </conditionalFormatting>
  <conditionalFormatting sqref="C9:C10">
    <cfRule type="duplicateValues" dxfId="6178" priority="34"/>
    <cfRule type="duplicateValues" dxfId="6177" priority="35"/>
  </conditionalFormatting>
  <conditionalFormatting sqref="C12">
    <cfRule type="duplicateValues" dxfId="6176" priority="1067"/>
    <cfRule type="duplicateValues" dxfId="6175" priority="1066"/>
    <cfRule type="duplicateValues" dxfId="6174" priority="1068"/>
  </conditionalFormatting>
  <conditionalFormatting sqref="C16">
    <cfRule type="duplicateValues" dxfId="6173" priority="59"/>
  </conditionalFormatting>
  <conditionalFormatting sqref="C18">
    <cfRule type="duplicateValues" dxfId="6172" priority="91"/>
  </conditionalFormatting>
  <conditionalFormatting sqref="C19">
    <cfRule type="duplicateValues" dxfId="6171" priority="889"/>
  </conditionalFormatting>
  <conditionalFormatting sqref="C20">
    <cfRule type="duplicateValues" dxfId="6170" priority="88"/>
  </conditionalFormatting>
  <conditionalFormatting sqref="C21:C22 C7 C13:C15 C11 C17">
    <cfRule type="duplicateValues" dxfId="6169" priority="1348"/>
    <cfRule type="duplicateValues" dxfId="6168" priority="1324"/>
    <cfRule type="duplicateValues" dxfId="6167" priority="1325"/>
  </conditionalFormatting>
  <conditionalFormatting sqref="C24 C39 C28 C34:C37 C46:C48 C43:C44 C51:C53">
    <cfRule type="duplicateValues" dxfId="6166" priority="1320"/>
    <cfRule type="duplicateValues" dxfId="6165" priority="1296"/>
    <cfRule type="duplicateValues" dxfId="6164" priority="1297"/>
  </conditionalFormatting>
  <conditionalFormatting sqref="C24">
    <cfRule type="duplicateValues" dxfId="6163" priority="1300"/>
    <cfRule type="duplicateValues" dxfId="6162" priority="1299"/>
    <cfRule type="duplicateValues" dxfId="6161" priority="1295"/>
    <cfRule type="duplicateValues" dxfId="6160" priority="1294"/>
    <cfRule type="duplicateValues" dxfId="6159" priority="1293"/>
    <cfRule type="duplicateValues" dxfId="6158" priority="1309"/>
    <cfRule type="duplicateValues" dxfId="6157" priority="1319"/>
    <cfRule type="duplicateValues" dxfId="6156" priority="1318"/>
    <cfRule type="duplicateValues" dxfId="6155" priority="1317"/>
    <cfRule type="duplicateValues" dxfId="6154" priority="1316"/>
    <cfRule type="duplicateValues" dxfId="6153" priority="1315"/>
    <cfRule type="duplicateValues" dxfId="6152" priority="1314"/>
    <cfRule type="duplicateValues" dxfId="6151" priority="1313"/>
    <cfRule type="duplicateValues" dxfId="6150" priority="1312"/>
    <cfRule type="duplicateValues" dxfId="6149" priority="1311"/>
    <cfRule type="duplicateValues" dxfId="6148" priority="1310"/>
    <cfRule type="duplicateValues" dxfId="6147" priority="1298"/>
    <cfRule type="duplicateValues" dxfId="6146" priority="1308"/>
    <cfRule type="duplicateValues" dxfId="6145" priority="1307"/>
    <cfRule type="duplicateValues" dxfId="6144" priority="1306"/>
    <cfRule type="duplicateValues" dxfId="6143" priority="1305"/>
    <cfRule type="duplicateValues" dxfId="6142" priority="1304"/>
    <cfRule type="duplicateValues" dxfId="6141" priority="1303"/>
    <cfRule type="duplicateValues" dxfId="6140" priority="1302"/>
    <cfRule type="duplicateValues" dxfId="6139" priority="1301"/>
  </conditionalFormatting>
  <conditionalFormatting sqref="C26">
    <cfRule type="duplicateValues" dxfId="6138" priority="549"/>
  </conditionalFormatting>
  <conditionalFormatting sqref="C27">
    <cfRule type="duplicateValues" dxfId="6137" priority="63"/>
  </conditionalFormatting>
  <conditionalFormatting sqref="C29:C30">
    <cfRule type="duplicateValues" dxfId="6136" priority="89"/>
  </conditionalFormatting>
  <conditionalFormatting sqref="C32">
    <cfRule type="duplicateValues" dxfId="6135" priority="355"/>
    <cfRule type="duplicateValues" dxfId="6134" priority="356"/>
    <cfRule type="duplicateValues" dxfId="6133" priority="354"/>
  </conditionalFormatting>
  <conditionalFormatting sqref="C33">
    <cfRule type="duplicateValues" dxfId="6132" priority="96"/>
  </conditionalFormatting>
  <conditionalFormatting sqref="C38">
    <cfRule type="duplicateValues" dxfId="6131" priority="119"/>
    <cfRule type="duplicateValues" dxfId="6130" priority="118"/>
  </conditionalFormatting>
  <conditionalFormatting sqref="C40">
    <cfRule type="duplicateValues" dxfId="6129" priority="124"/>
    <cfRule type="duplicateValues" dxfId="6128" priority="125"/>
    <cfRule type="duplicateValues" dxfId="6127" priority="127"/>
    <cfRule type="duplicateValues" dxfId="6126" priority="126"/>
  </conditionalFormatting>
  <conditionalFormatting sqref="C41">
    <cfRule type="duplicateValues" dxfId="6125" priority="6"/>
    <cfRule type="duplicateValues" dxfId="6124" priority="5"/>
    <cfRule type="duplicateValues" dxfId="6123" priority="4"/>
    <cfRule type="duplicateValues" dxfId="6122" priority="3"/>
    <cfRule type="duplicateValues" dxfId="6121" priority="7"/>
  </conditionalFormatting>
  <conditionalFormatting sqref="C42">
    <cfRule type="duplicateValues" dxfId="6120" priority="116"/>
    <cfRule type="duplicateValues" dxfId="6119" priority="117"/>
  </conditionalFormatting>
  <conditionalFormatting sqref="C45">
    <cfRule type="duplicateValues" dxfId="6118" priority="9"/>
  </conditionalFormatting>
  <conditionalFormatting sqref="C49">
    <cfRule type="duplicateValues" dxfId="6117" priority="83"/>
    <cfRule type="duplicateValues" dxfId="6116" priority="81"/>
    <cfRule type="duplicateValues" dxfId="6115" priority="82"/>
  </conditionalFormatting>
  <conditionalFormatting sqref="C50">
    <cfRule type="duplicateValues" dxfId="6114" priority="78"/>
    <cfRule type="duplicateValues" dxfId="6113" priority="79"/>
    <cfRule type="duplicateValues" dxfId="6112" priority="80"/>
  </conditionalFormatting>
  <conditionalFormatting sqref="C54">
    <cfRule type="duplicateValues" dxfId="6111" priority="60"/>
  </conditionalFormatting>
  <conditionalFormatting sqref="C56:C57">
    <cfRule type="duplicateValues" dxfId="6110" priority="101"/>
    <cfRule type="duplicateValues" dxfId="6109" priority="100"/>
  </conditionalFormatting>
  <conditionalFormatting sqref="C58">
    <cfRule type="duplicateValues" dxfId="6108" priority="511"/>
  </conditionalFormatting>
  <conditionalFormatting sqref="C61">
    <cfRule type="duplicateValues" dxfId="6107" priority="364"/>
  </conditionalFormatting>
  <conditionalFormatting sqref="C63">
    <cfRule type="duplicateValues" dxfId="6106" priority="71"/>
  </conditionalFormatting>
  <conditionalFormatting sqref="C69">
    <cfRule type="duplicateValues" dxfId="6105" priority="151"/>
    <cfRule type="duplicateValues" dxfId="6104" priority="152"/>
    <cfRule type="duplicateValues" dxfId="6103" priority="153"/>
    <cfRule type="duplicateValues" dxfId="6102" priority="154"/>
    <cfRule type="duplicateValues" dxfId="6101" priority="155"/>
    <cfRule type="duplicateValues" dxfId="6100" priority="156"/>
    <cfRule type="duplicateValues" dxfId="6099" priority="157"/>
    <cfRule type="duplicateValues" dxfId="6098" priority="158"/>
    <cfRule type="duplicateValues" dxfId="6097" priority="159"/>
    <cfRule type="duplicateValues" dxfId="6096" priority="160"/>
    <cfRule type="duplicateValues" dxfId="6095" priority="161"/>
    <cfRule type="duplicateValues" dxfId="6094" priority="162"/>
    <cfRule type="duplicateValues" dxfId="6093" priority="163"/>
    <cfRule type="duplicateValues" dxfId="6092" priority="164"/>
    <cfRule type="duplicateValues" dxfId="6091" priority="165"/>
    <cfRule type="duplicateValues" dxfId="6090" priority="166"/>
    <cfRule type="duplicateValues" dxfId="6089" priority="167"/>
    <cfRule type="duplicateValues" dxfId="6088" priority="168"/>
    <cfRule type="duplicateValues" dxfId="6087" priority="169"/>
    <cfRule type="duplicateValues" dxfId="6086" priority="170"/>
    <cfRule type="duplicateValues" dxfId="6085" priority="171"/>
    <cfRule type="duplicateValues" dxfId="6084" priority="172"/>
    <cfRule type="duplicateValues" dxfId="6083" priority="173"/>
    <cfRule type="duplicateValues" dxfId="6082" priority="174"/>
    <cfRule type="duplicateValues" dxfId="6081" priority="147"/>
    <cfRule type="duplicateValues" dxfId="6080" priority="145"/>
    <cfRule type="duplicateValues" dxfId="6079" priority="146"/>
    <cfRule type="duplicateValues" dxfId="6078" priority="148"/>
    <cfRule type="duplicateValues" dxfId="6077" priority="149"/>
    <cfRule type="duplicateValues" dxfId="6076" priority="150"/>
  </conditionalFormatting>
  <conditionalFormatting sqref="C72:C80 C59:C60 C62 C64:C68">
    <cfRule type="duplicateValues" dxfId="6075" priority="929"/>
    <cfRule type="duplicateValues" dxfId="6074" priority="928"/>
    <cfRule type="duplicateValues" dxfId="6073" priority="952"/>
  </conditionalFormatting>
  <conditionalFormatting sqref="C72:C80">
    <cfRule type="duplicateValues" dxfId="6072" priority="940"/>
    <cfRule type="duplicateValues" dxfId="6071" priority="931"/>
    <cfRule type="duplicateValues" dxfId="6070" priority="933"/>
    <cfRule type="duplicateValues" dxfId="6069" priority="934"/>
    <cfRule type="duplicateValues" dxfId="6068" priority="935"/>
    <cfRule type="duplicateValues" dxfId="6067" priority="936"/>
    <cfRule type="duplicateValues" dxfId="6066" priority="932"/>
    <cfRule type="duplicateValues" dxfId="6065" priority="937"/>
    <cfRule type="duplicateValues" dxfId="6064" priority="930"/>
    <cfRule type="duplicateValues" dxfId="6063" priority="938"/>
    <cfRule type="duplicateValues" dxfId="6062" priority="939"/>
    <cfRule type="duplicateValues" dxfId="6061" priority="945"/>
    <cfRule type="duplicateValues" dxfId="6060" priority="946"/>
    <cfRule type="duplicateValues" dxfId="6059" priority="951"/>
    <cfRule type="duplicateValues" dxfId="6058" priority="924"/>
    <cfRule type="duplicateValues" dxfId="6057" priority="941"/>
    <cfRule type="duplicateValues" dxfId="6056" priority="950"/>
    <cfRule type="duplicateValues" dxfId="6055" priority="949"/>
    <cfRule type="duplicateValues" dxfId="6054" priority="948"/>
    <cfRule type="duplicateValues" dxfId="6053" priority="947"/>
    <cfRule type="duplicateValues" dxfId="6052" priority="925"/>
    <cfRule type="duplicateValues" dxfId="6051" priority="926"/>
    <cfRule type="duplicateValues" dxfId="6050" priority="942"/>
    <cfRule type="duplicateValues" dxfId="6049" priority="927"/>
    <cfRule type="duplicateValues" dxfId="6048" priority="943"/>
    <cfRule type="duplicateValues" dxfId="6047" priority="944"/>
  </conditionalFormatting>
  <conditionalFormatting sqref="C81:C101">
    <cfRule type="duplicateValues" dxfId="6046" priority="1269"/>
    <cfRule type="duplicateValues" dxfId="6045" priority="1292"/>
    <cfRule type="duplicateValues" dxfId="6044" priority="1268"/>
  </conditionalFormatting>
  <conditionalFormatting sqref="C103 C109:C111 C118:C120 C144 C139 C131:C137 C122 C114:C116 C125:C129">
    <cfRule type="duplicateValues" dxfId="6043" priority="1213"/>
    <cfRule type="duplicateValues" dxfId="6042" priority="1212"/>
    <cfRule type="duplicateValues" dxfId="6041" priority="1236"/>
  </conditionalFormatting>
  <conditionalFormatting sqref="C103">
    <cfRule type="duplicateValues" dxfId="6040" priority="1231"/>
    <cfRule type="duplicateValues" dxfId="6039" priority="1214"/>
    <cfRule type="duplicateValues" dxfId="6038" priority="1216"/>
    <cfRule type="duplicateValues" dxfId="6037" priority="1217"/>
    <cfRule type="duplicateValues" dxfId="6036" priority="1218"/>
    <cfRule type="duplicateValues" dxfId="6035" priority="1235"/>
    <cfRule type="duplicateValues" dxfId="6034" priority="1234"/>
    <cfRule type="duplicateValues" dxfId="6033" priority="1233"/>
    <cfRule type="duplicateValues" dxfId="6032" priority="1232"/>
    <cfRule type="duplicateValues" dxfId="6031" priority="1230"/>
    <cfRule type="duplicateValues" dxfId="6030" priority="1229"/>
    <cfRule type="duplicateValues" dxfId="6029" priority="1219"/>
    <cfRule type="duplicateValues" dxfId="6028" priority="1228"/>
    <cfRule type="duplicateValues" dxfId="6027" priority="1227"/>
    <cfRule type="duplicateValues" dxfId="6026" priority="1226"/>
    <cfRule type="duplicateValues" dxfId="6025" priority="1225"/>
    <cfRule type="duplicateValues" dxfId="6024" priority="1224"/>
    <cfRule type="duplicateValues" dxfId="6023" priority="1223"/>
    <cfRule type="duplicateValues" dxfId="6022" priority="1222"/>
    <cfRule type="duplicateValues" dxfId="6021" priority="1220"/>
    <cfRule type="duplicateValues" dxfId="6020" priority="1215"/>
    <cfRule type="duplicateValues" dxfId="6019" priority="1221"/>
    <cfRule type="duplicateValues" dxfId="6018" priority="1209"/>
    <cfRule type="duplicateValues" dxfId="6017" priority="1210"/>
    <cfRule type="duplicateValues" dxfId="6016" priority="1211"/>
  </conditionalFormatting>
  <conditionalFormatting sqref="C104">
    <cfRule type="duplicateValues" dxfId="6015" priority="1029"/>
    <cfRule type="duplicateValues" dxfId="6014" priority="1030"/>
    <cfRule type="duplicateValues" dxfId="6013" priority="1031"/>
    <cfRule type="duplicateValues" dxfId="6012" priority="1017"/>
    <cfRule type="duplicateValues" dxfId="6011" priority="1032"/>
    <cfRule type="duplicateValues" dxfId="6010" priority="1033"/>
    <cfRule type="duplicateValues" dxfId="6009" priority="1034"/>
    <cfRule type="duplicateValues" dxfId="6008" priority="1035"/>
    <cfRule type="duplicateValues" dxfId="6007" priority="1036"/>
    <cfRule type="duplicateValues" dxfId="6006" priority="1037"/>
    <cfRule type="duplicateValues" dxfId="6005" priority="1018"/>
    <cfRule type="duplicateValues" dxfId="6004" priority="1019"/>
    <cfRule type="duplicateValues" dxfId="6003" priority="1020"/>
    <cfRule type="duplicateValues" dxfId="6002" priority="1021"/>
    <cfRule type="duplicateValues" dxfId="6001" priority="1022"/>
    <cfRule type="duplicateValues" dxfId="6000" priority="1038"/>
    <cfRule type="duplicateValues" dxfId="5999" priority="1039"/>
    <cfRule type="duplicateValues" dxfId="5998" priority="1042"/>
    <cfRule type="duplicateValues" dxfId="5997" priority="1027"/>
    <cfRule type="duplicateValues" dxfId="5996" priority="1040"/>
    <cfRule type="duplicateValues" dxfId="5995" priority="1028"/>
    <cfRule type="duplicateValues" dxfId="5994" priority="1026"/>
    <cfRule type="duplicateValues" dxfId="5993" priority="1041"/>
    <cfRule type="duplicateValues" dxfId="5992" priority="1025"/>
    <cfRule type="duplicateValues" dxfId="5991" priority="1024"/>
    <cfRule type="duplicateValues" dxfId="5990" priority="1023"/>
    <cfRule type="duplicateValues" dxfId="5989" priority="1015"/>
    <cfRule type="duplicateValues" dxfId="5988" priority="1016"/>
  </conditionalFormatting>
  <conditionalFormatting sqref="C105">
    <cfRule type="duplicateValues" dxfId="5987" priority="87"/>
  </conditionalFormatting>
  <conditionalFormatting sqref="C106">
    <cfRule type="duplicateValues" dxfId="5986" priority="92"/>
    <cfRule type="duplicateValues" dxfId="5985" priority="94"/>
    <cfRule type="duplicateValues" dxfId="5984" priority="93"/>
  </conditionalFormatting>
  <conditionalFormatting sqref="C107">
    <cfRule type="duplicateValues" dxfId="5983" priority="1063"/>
    <cfRule type="duplicateValues" dxfId="5982" priority="1064"/>
    <cfRule type="duplicateValues" dxfId="5981" priority="1065"/>
  </conditionalFormatting>
  <conditionalFormatting sqref="C108">
    <cfRule type="duplicateValues" dxfId="5980" priority="1060"/>
    <cfRule type="duplicateValues" dxfId="5979" priority="1061"/>
    <cfRule type="duplicateValues" dxfId="5978" priority="1062"/>
  </conditionalFormatting>
  <conditionalFormatting sqref="C112">
    <cfRule type="duplicateValues" dxfId="5977" priority="58"/>
  </conditionalFormatting>
  <conditionalFormatting sqref="C113">
    <cfRule type="duplicateValues" dxfId="5976" priority="21"/>
    <cfRule type="duplicateValues" dxfId="5975" priority="22"/>
  </conditionalFormatting>
  <conditionalFormatting sqref="C121">
    <cfRule type="duplicateValues" dxfId="5974" priority="797"/>
  </conditionalFormatting>
  <conditionalFormatting sqref="C123:C124">
    <cfRule type="duplicateValues" dxfId="5973" priority="57"/>
  </conditionalFormatting>
  <conditionalFormatting sqref="C130">
    <cfRule type="duplicateValues" dxfId="5972" priority="699"/>
  </conditionalFormatting>
  <conditionalFormatting sqref="C138">
    <cfRule type="duplicateValues" dxfId="5971" priority="1048"/>
    <cfRule type="duplicateValues" dxfId="5970" priority="1047"/>
  </conditionalFormatting>
  <conditionalFormatting sqref="C140">
    <cfRule type="duplicateValues" dxfId="5969" priority="1055"/>
    <cfRule type="duplicateValues" dxfId="5968" priority="1056"/>
  </conditionalFormatting>
  <conditionalFormatting sqref="C141">
    <cfRule type="duplicateValues" dxfId="5967" priority="12"/>
  </conditionalFormatting>
  <conditionalFormatting sqref="C142:C143">
    <cfRule type="duplicateValues" dxfId="5966" priority="761"/>
    <cfRule type="duplicateValues" dxfId="5965" priority="763"/>
    <cfRule type="duplicateValues" dxfId="5964" priority="762"/>
  </conditionalFormatting>
  <conditionalFormatting sqref="C146 C148:C151">
    <cfRule type="duplicateValues" dxfId="5963" priority="1206"/>
  </conditionalFormatting>
  <conditionalFormatting sqref="C146 C165 C148:C151 C170 C176:C181">
    <cfRule type="duplicateValues" dxfId="5962" priority="20344"/>
  </conditionalFormatting>
  <conditionalFormatting sqref="C146">
    <cfRule type="duplicateValues" dxfId="5961" priority="1191"/>
    <cfRule type="duplicateValues" dxfId="5960" priority="1190"/>
    <cfRule type="duplicateValues" dxfId="5959" priority="1202"/>
    <cfRule type="duplicateValues" dxfId="5958" priority="1188"/>
    <cfRule type="duplicateValues" dxfId="5957" priority="1205"/>
    <cfRule type="duplicateValues" dxfId="5956" priority="1186"/>
    <cfRule type="duplicateValues" dxfId="5955" priority="1200"/>
    <cfRule type="duplicateValues" dxfId="5954" priority="1204"/>
    <cfRule type="duplicateValues" dxfId="5953" priority="1201"/>
    <cfRule type="duplicateValues" dxfId="5952" priority="1183"/>
    <cfRule type="duplicateValues" dxfId="5951" priority="1198"/>
    <cfRule type="duplicateValues" dxfId="5950" priority="1197"/>
    <cfRule type="duplicateValues" dxfId="5949" priority="1182"/>
    <cfRule type="duplicateValues" dxfId="5948" priority="1181"/>
    <cfRule type="duplicateValues" dxfId="5947" priority="1196"/>
    <cfRule type="duplicateValues" dxfId="5946" priority="1195"/>
    <cfRule type="duplicateValues" dxfId="5945" priority="1199"/>
    <cfRule type="duplicateValues" dxfId="5944" priority="1189"/>
    <cfRule type="duplicateValues" dxfId="5943" priority="1194"/>
    <cfRule type="duplicateValues" dxfId="5942" priority="1203"/>
    <cfRule type="duplicateValues" dxfId="5941" priority="1193"/>
    <cfRule type="duplicateValues" dxfId="5940" priority="1192"/>
    <cfRule type="duplicateValues" dxfId="5939" priority="1187"/>
  </conditionalFormatting>
  <conditionalFormatting sqref="C147">
    <cfRule type="duplicateValues" dxfId="5938" priority="495"/>
    <cfRule type="duplicateValues" dxfId="5937" priority="496"/>
    <cfRule type="duplicateValues" dxfId="5936" priority="497"/>
    <cfRule type="duplicateValues" dxfId="5935" priority="498"/>
    <cfRule type="duplicateValues" dxfId="5934" priority="499"/>
    <cfRule type="duplicateValues" dxfId="5933" priority="500"/>
    <cfRule type="duplicateValues" dxfId="5932" priority="501"/>
    <cfRule type="duplicateValues" dxfId="5931" priority="502"/>
    <cfRule type="duplicateValues" dxfId="5930" priority="504"/>
    <cfRule type="duplicateValues" dxfId="5929" priority="505"/>
    <cfRule type="duplicateValues" dxfId="5928" priority="506"/>
    <cfRule type="duplicateValues" dxfId="5927" priority="482"/>
    <cfRule type="duplicateValues" dxfId="5926" priority="481"/>
    <cfRule type="duplicateValues" dxfId="5925" priority="480"/>
    <cfRule type="duplicateValues" dxfId="5924" priority="479"/>
    <cfRule type="duplicateValues" dxfId="5923" priority="478"/>
    <cfRule type="duplicateValues" dxfId="5922" priority="503"/>
    <cfRule type="duplicateValues" dxfId="5921" priority="486"/>
    <cfRule type="duplicateValues" dxfId="5920" priority="485"/>
    <cfRule type="duplicateValues" dxfId="5919" priority="484"/>
    <cfRule type="duplicateValues" dxfId="5918" priority="483"/>
    <cfRule type="duplicateValues" dxfId="5917" priority="487"/>
    <cfRule type="duplicateValues" dxfId="5916" priority="488"/>
    <cfRule type="duplicateValues" dxfId="5915" priority="489"/>
    <cfRule type="duplicateValues" dxfId="5914" priority="490"/>
    <cfRule type="duplicateValues" dxfId="5913" priority="491"/>
    <cfRule type="duplicateValues" dxfId="5912" priority="492"/>
    <cfRule type="duplicateValues" dxfId="5911" priority="493"/>
    <cfRule type="duplicateValues" dxfId="5910" priority="494"/>
  </conditionalFormatting>
  <conditionalFormatting sqref="C152 C161">
    <cfRule type="duplicateValues" dxfId="5909" priority="666"/>
    <cfRule type="duplicateValues" dxfId="5908" priority="642"/>
    <cfRule type="duplicateValues" dxfId="5907" priority="643"/>
  </conditionalFormatting>
  <conditionalFormatting sqref="C152">
    <cfRule type="duplicateValues" dxfId="5906" priority="651"/>
    <cfRule type="duplicateValues" dxfId="5905" priority="648"/>
    <cfRule type="duplicateValues" dxfId="5904" priority="665"/>
    <cfRule type="duplicateValues" dxfId="5903" priority="664"/>
    <cfRule type="duplicateValues" dxfId="5902" priority="663"/>
    <cfRule type="duplicateValues" dxfId="5901" priority="662"/>
    <cfRule type="duplicateValues" dxfId="5900" priority="655"/>
    <cfRule type="duplicateValues" dxfId="5899" priority="654"/>
    <cfRule type="duplicateValues" dxfId="5898" priority="653"/>
    <cfRule type="duplicateValues" dxfId="5897" priority="661"/>
    <cfRule type="duplicateValues" dxfId="5896" priority="652"/>
    <cfRule type="duplicateValues" dxfId="5895" priority="659"/>
    <cfRule type="duplicateValues" dxfId="5894" priority="639"/>
    <cfRule type="duplicateValues" dxfId="5893" priority="650"/>
    <cfRule type="duplicateValues" dxfId="5892" priority="649"/>
    <cfRule type="duplicateValues" dxfId="5891" priority="647"/>
    <cfRule type="duplicateValues" dxfId="5890" priority="646"/>
    <cfRule type="duplicateValues" dxfId="5889" priority="645"/>
    <cfRule type="duplicateValues" dxfId="5888" priority="644"/>
    <cfRule type="duplicateValues" dxfId="5887" priority="641"/>
    <cfRule type="duplicateValues" dxfId="5886" priority="656"/>
    <cfRule type="duplicateValues" dxfId="5885" priority="657"/>
    <cfRule type="duplicateValues" dxfId="5884" priority="658"/>
    <cfRule type="duplicateValues" dxfId="5883" priority="640"/>
    <cfRule type="duplicateValues" dxfId="5882" priority="638"/>
    <cfRule type="duplicateValues" dxfId="5881" priority="660"/>
  </conditionalFormatting>
  <conditionalFormatting sqref="C153:C155">
    <cfRule type="duplicateValues" dxfId="5880" priority="56"/>
  </conditionalFormatting>
  <conditionalFormatting sqref="C156">
    <cfRule type="duplicateValues" dxfId="5879" priority="412"/>
  </conditionalFormatting>
  <conditionalFormatting sqref="C157">
    <cfRule type="duplicateValues" dxfId="5878" priority="292"/>
    <cfRule type="duplicateValues" dxfId="5877" priority="293"/>
    <cfRule type="duplicateValues" dxfId="5876" priority="291"/>
  </conditionalFormatting>
  <conditionalFormatting sqref="C158:C159">
    <cfRule type="duplicateValues" dxfId="5875" priority="279"/>
    <cfRule type="duplicateValues" dxfId="5874" priority="278"/>
    <cfRule type="duplicateValues" dxfId="5873" priority="277"/>
  </conditionalFormatting>
  <conditionalFormatting sqref="C160">
    <cfRule type="duplicateValues" dxfId="5872" priority="274"/>
    <cfRule type="duplicateValues" dxfId="5871" priority="276"/>
    <cfRule type="duplicateValues" dxfId="5870" priority="275"/>
  </conditionalFormatting>
  <conditionalFormatting sqref="C162">
    <cfRule type="duplicateValues" dxfId="5869" priority="357"/>
  </conditionalFormatting>
  <conditionalFormatting sqref="C163:C164">
    <cfRule type="duplicateValues" dxfId="5868" priority="121"/>
    <cfRule type="duplicateValues" dxfId="5867" priority="120"/>
    <cfRule type="duplicateValues" dxfId="5866" priority="122"/>
    <cfRule type="duplicateValues" dxfId="5865" priority="123"/>
  </conditionalFormatting>
  <conditionalFormatting sqref="C166:C169">
    <cfRule type="duplicateValues" dxfId="5864" priority="70"/>
  </conditionalFormatting>
  <conditionalFormatting sqref="C171:C172">
    <cfRule type="duplicateValues" dxfId="5863" priority="69"/>
  </conditionalFormatting>
  <conditionalFormatting sqref="C173:C174">
    <cfRule type="duplicateValues" dxfId="5862" priority="68"/>
  </conditionalFormatting>
  <conditionalFormatting sqref="C175">
    <cfRule type="duplicateValues" dxfId="5861" priority="67"/>
  </conditionalFormatting>
  <conditionalFormatting sqref="C182:C183">
    <cfRule type="duplicateValues" dxfId="5860" priority="26"/>
    <cfRule type="duplicateValues" dxfId="5859" priority="25"/>
  </conditionalFormatting>
  <conditionalFormatting sqref="C184:C185">
    <cfRule type="duplicateValues" dxfId="5858" priority="24"/>
    <cfRule type="duplicateValues" dxfId="5857" priority="23"/>
  </conditionalFormatting>
  <conditionalFormatting sqref="C186">
    <cfRule type="duplicateValues" dxfId="5856" priority="1044"/>
    <cfRule type="duplicateValues" dxfId="5855" priority="1043"/>
  </conditionalFormatting>
  <conditionalFormatting sqref="C187:C192 C146 C197:C211 C165 C234:C247 C148:C151 C275:C277 C271 C222 C265 C296:C297 C170 C176:C181 C255:C261 C299:C302">
    <cfRule type="duplicateValues" dxfId="5854" priority="1208"/>
    <cfRule type="duplicateValues" dxfId="5853" priority="1184"/>
    <cfRule type="duplicateValues" dxfId="5852" priority="1185"/>
  </conditionalFormatting>
  <conditionalFormatting sqref="C193:C194">
    <cfRule type="duplicateValues" dxfId="5851" priority="344"/>
    <cfRule type="duplicateValues" dxfId="5850" priority="341"/>
    <cfRule type="duplicateValues" dxfId="5849" priority="342"/>
    <cfRule type="duplicateValues" dxfId="5848" priority="345"/>
    <cfRule type="duplicateValues" dxfId="5847" priority="343"/>
  </conditionalFormatting>
  <conditionalFormatting sqref="C195:C196">
    <cfRule type="duplicateValues" dxfId="5846" priority="840"/>
    <cfRule type="duplicateValues" dxfId="5845" priority="839"/>
    <cfRule type="duplicateValues" dxfId="5844" priority="838"/>
    <cfRule type="duplicateValues" dxfId="5843" priority="837"/>
    <cfRule type="duplicateValues" dxfId="5842" priority="836"/>
    <cfRule type="duplicateValues" dxfId="5841" priority="835"/>
    <cfRule type="duplicateValues" dxfId="5840" priority="833"/>
    <cfRule type="duplicateValues" dxfId="5839" priority="832"/>
    <cfRule type="duplicateValues" dxfId="5838" priority="831"/>
    <cfRule type="duplicateValues" dxfId="5837" priority="859"/>
    <cfRule type="duplicateValues" dxfId="5836" priority="858"/>
    <cfRule type="duplicateValues" dxfId="5835" priority="857"/>
    <cfRule type="duplicateValues" dxfId="5834" priority="856"/>
    <cfRule type="duplicateValues" dxfId="5833" priority="855"/>
    <cfRule type="duplicateValues" dxfId="5832" priority="854"/>
    <cfRule type="duplicateValues" dxfId="5831" priority="853"/>
    <cfRule type="duplicateValues" dxfId="5830" priority="852"/>
    <cfRule type="duplicateValues" dxfId="5829" priority="851"/>
    <cfRule type="duplicateValues" dxfId="5828" priority="850"/>
    <cfRule type="duplicateValues" dxfId="5827" priority="849"/>
    <cfRule type="duplicateValues" dxfId="5826" priority="834"/>
    <cfRule type="duplicateValues" dxfId="5825" priority="848"/>
    <cfRule type="duplicateValues" dxfId="5824" priority="847"/>
    <cfRule type="duplicateValues" dxfId="5823" priority="846"/>
    <cfRule type="duplicateValues" dxfId="5822" priority="845"/>
    <cfRule type="duplicateValues" dxfId="5821" priority="844"/>
    <cfRule type="duplicateValues" dxfId="5820" priority="843"/>
    <cfRule type="duplicateValues" dxfId="5819" priority="842"/>
    <cfRule type="duplicateValues" dxfId="5818" priority="841"/>
  </conditionalFormatting>
  <conditionalFormatting sqref="C212:C221">
    <cfRule type="duplicateValues" dxfId="5817" priority="251"/>
    <cfRule type="duplicateValues" dxfId="5816" priority="252"/>
    <cfRule type="duplicateValues" dxfId="5815" priority="253"/>
  </conditionalFormatting>
  <conditionalFormatting sqref="C223">
    <cfRule type="duplicateValues" dxfId="5814" priority="249"/>
    <cfRule type="duplicateValues" dxfId="5813" priority="250"/>
    <cfRule type="duplicateValues" dxfId="5812" priority="248"/>
  </conditionalFormatting>
  <conditionalFormatting sqref="C224">
    <cfRule type="duplicateValues" dxfId="5811" priority="16"/>
  </conditionalFormatting>
  <conditionalFormatting sqref="C225">
    <cfRule type="duplicateValues" dxfId="5810" priority="15"/>
  </conditionalFormatting>
  <conditionalFormatting sqref="C226:C228">
    <cfRule type="duplicateValues" dxfId="5809" priority="14"/>
  </conditionalFormatting>
  <conditionalFormatting sqref="C229">
    <cfRule type="duplicateValues" dxfId="5808" priority="895"/>
    <cfRule type="duplicateValues" dxfId="5807" priority="918"/>
    <cfRule type="duplicateValues" dxfId="5806" priority="917"/>
    <cfRule type="duplicateValues" dxfId="5805" priority="916"/>
    <cfRule type="duplicateValues" dxfId="5804" priority="914"/>
    <cfRule type="duplicateValues" dxfId="5803" priority="897"/>
    <cfRule type="duplicateValues" dxfId="5802" priority="913"/>
    <cfRule type="duplicateValues" dxfId="5801" priority="912"/>
    <cfRule type="duplicateValues" dxfId="5800" priority="911"/>
    <cfRule type="duplicateValues" dxfId="5799" priority="910"/>
    <cfRule type="duplicateValues" dxfId="5798" priority="908"/>
    <cfRule type="duplicateValues" dxfId="5797" priority="915"/>
    <cfRule type="duplicateValues" dxfId="5796" priority="896"/>
    <cfRule type="duplicateValues" dxfId="5795" priority="907"/>
    <cfRule type="duplicateValues" dxfId="5794" priority="898"/>
    <cfRule type="duplicateValues" dxfId="5793" priority="906"/>
    <cfRule type="duplicateValues" dxfId="5792" priority="899"/>
    <cfRule type="duplicateValues" dxfId="5791" priority="905"/>
    <cfRule type="duplicateValues" dxfId="5790" priority="900"/>
    <cfRule type="duplicateValues" dxfId="5789" priority="904"/>
    <cfRule type="duplicateValues" dxfId="5788" priority="903"/>
    <cfRule type="duplicateValues" dxfId="5787" priority="902"/>
    <cfRule type="duplicateValues" dxfId="5786" priority="901"/>
    <cfRule type="duplicateValues" dxfId="5785" priority="909"/>
    <cfRule type="duplicateValues" dxfId="5784" priority="923"/>
    <cfRule type="duplicateValues" dxfId="5783" priority="922"/>
    <cfRule type="duplicateValues" dxfId="5782" priority="921"/>
    <cfRule type="duplicateValues" dxfId="5781" priority="920"/>
    <cfRule type="duplicateValues" dxfId="5780" priority="919"/>
  </conditionalFormatting>
  <conditionalFormatting sqref="C230:C233">
    <cfRule type="duplicateValues" dxfId="5779" priority="13"/>
  </conditionalFormatting>
  <conditionalFormatting sqref="C248:C251">
    <cfRule type="duplicateValues" dxfId="5778" priority="55"/>
  </conditionalFormatting>
  <conditionalFormatting sqref="C252:C254">
    <cfRule type="duplicateValues" dxfId="5777" priority="54"/>
  </conditionalFormatting>
  <conditionalFormatting sqref="C262:C264">
    <cfRule type="duplicateValues" dxfId="5776" priority="239"/>
    <cfRule type="duplicateValues" dxfId="5775" priority="238"/>
  </conditionalFormatting>
  <conditionalFormatting sqref="C266:C270">
    <cfRule type="duplicateValues" dxfId="5774" priority="299"/>
    <cfRule type="duplicateValues" dxfId="5773" priority="300"/>
    <cfRule type="duplicateValues" dxfId="5772" priority="301"/>
    <cfRule type="duplicateValues" dxfId="5771" priority="303"/>
    <cfRule type="duplicateValues" dxfId="5770" priority="302"/>
  </conditionalFormatting>
  <conditionalFormatting sqref="C272">
    <cfRule type="duplicateValues" dxfId="5769" priority="362"/>
  </conditionalFormatting>
  <conditionalFormatting sqref="C273:C274">
    <cfRule type="duplicateValues" dxfId="5768" priority="361"/>
  </conditionalFormatting>
  <conditionalFormatting sqref="C278 C282">
    <cfRule type="duplicateValues" dxfId="5767" priority="306"/>
    <cfRule type="duplicateValues" dxfId="5766" priority="308"/>
    <cfRule type="duplicateValues" dxfId="5765" priority="307"/>
  </conditionalFormatting>
  <conditionalFormatting sqref="C278">
    <cfRule type="duplicateValues" dxfId="5764" priority="304"/>
    <cfRule type="duplicateValues" dxfId="5763" priority="305"/>
  </conditionalFormatting>
  <conditionalFormatting sqref="C279:C280">
    <cfRule type="duplicateValues" dxfId="5762" priority="86"/>
  </conditionalFormatting>
  <conditionalFormatting sqref="C281">
    <cfRule type="duplicateValues" dxfId="5761" priority="85"/>
  </conditionalFormatting>
  <conditionalFormatting sqref="C283">
    <cfRule type="duplicateValues" dxfId="5760" priority="801"/>
  </conditionalFormatting>
  <conditionalFormatting sqref="C284:C295">
    <cfRule type="duplicateValues" dxfId="5759" priority="132"/>
    <cfRule type="duplicateValues" dxfId="5758" priority="131"/>
    <cfRule type="duplicateValues" dxfId="5757" priority="130"/>
  </conditionalFormatting>
  <conditionalFormatting sqref="C298">
    <cfRule type="duplicateValues" dxfId="5756" priority="10"/>
  </conditionalFormatting>
  <conditionalFormatting sqref="C303">
    <cfRule type="duplicateValues" dxfId="5755" priority="1014"/>
  </conditionalFormatting>
  <conditionalFormatting sqref="C304">
    <cfRule type="duplicateValues" dxfId="5754" priority="18284"/>
  </conditionalFormatting>
  <conditionalFormatting sqref="C305 C308 C312">
    <cfRule type="duplicateValues" dxfId="5753" priority="1179"/>
  </conditionalFormatting>
  <conditionalFormatting sqref="C305">
    <cfRule type="duplicateValues" dxfId="5752" priority="1172"/>
    <cfRule type="duplicateValues" dxfId="5751" priority="1171"/>
    <cfRule type="duplicateValues" dxfId="5750" priority="1170"/>
    <cfRule type="duplicateValues" dxfId="5749" priority="1169"/>
    <cfRule type="duplicateValues" dxfId="5748" priority="1168"/>
    <cfRule type="duplicateValues" dxfId="5747" priority="1167"/>
    <cfRule type="duplicateValues" dxfId="5746" priority="1166"/>
    <cfRule type="duplicateValues" dxfId="5745" priority="1165"/>
    <cfRule type="duplicateValues" dxfId="5744" priority="1164"/>
    <cfRule type="duplicateValues" dxfId="5743" priority="1160"/>
    <cfRule type="duplicateValues" dxfId="5742" priority="1163"/>
    <cfRule type="duplicateValues" dxfId="5741" priority="1162"/>
    <cfRule type="duplicateValues" dxfId="5740" priority="1161"/>
    <cfRule type="duplicateValues" dxfId="5739" priority="1159"/>
    <cfRule type="duplicateValues" dxfId="5738" priority="1158"/>
    <cfRule type="duplicateValues" dxfId="5737" priority="1155"/>
    <cfRule type="duplicateValues" dxfId="5736" priority="1154"/>
    <cfRule type="duplicateValues" dxfId="5735" priority="1153"/>
    <cfRule type="duplicateValues" dxfId="5734" priority="1177"/>
    <cfRule type="duplicateValues" dxfId="5733" priority="1178"/>
    <cfRule type="duplicateValues" dxfId="5732" priority="1176"/>
    <cfRule type="duplicateValues" dxfId="5731" priority="1175"/>
    <cfRule type="duplicateValues" dxfId="5730" priority="1174"/>
    <cfRule type="duplicateValues" dxfId="5729" priority="1173"/>
  </conditionalFormatting>
  <conditionalFormatting sqref="C306">
    <cfRule type="duplicateValues" dxfId="5728" priority="178"/>
    <cfRule type="duplicateValues" dxfId="5727" priority="179"/>
    <cfRule type="duplicateValues" dxfId="5726" priority="180"/>
    <cfRule type="duplicateValues" dxfId="5725" priority="181"/>
    <cfRule type="duplicateValues" dxfId="5724" priority="189"/>
    <cfRule type="duplicateValues" dxfId="5723" priority="188"/>
    <cfRule type="duplicateValues" dxfId="5722" priority="187"/>
    <cfRule type="duplicateValues" dxfId="5721" priority="186"/>
    <cfRule type="duplicateValues" dxfId="5720" priority="185"/>
    <cfRule type="duplicateValues" dxfId="5719" priority="184"/>
    <cfRule type="duplicateValues" dxfId="5718" priority="183"/>
    <cfRule type="duplicateValues" dxfId="5717" priority="207"/>
    <cfRule type="duplicateValues" dxfId="5716" priority="195"/>
    <cfRule type="duplicateValues" dxfId="5715" priority="206"/>
    <cfRule type="duplicateValues" dxfId="5714" priority="205"/>
    <cfRule type="duplicateValues" dxfId="5713" priority="204"/>
    <cfRule type="duplicateValues" dxfId="5712" priority="182"/>
    <cfRule type="duplicateValues" dxfId="5711" priority="203"/>
    <cfRule type="duplicateValues" dxfId="5710" priority="202"/>
    <cfRule type="duplicateValues" dxfId="5709" priority="201"/>
    <cfRule type="duplicateValues" dxfId="5708" priority="200"/>
    <cfRule type="duplicateValues" dxfId="5707" priority="199"/>
    <cfRule type="duplicateValues" dxfId="5706" priority="198"/>
    <cfRule type="duplicateValues" dxfId="5705" priority="197"/>
    <cfRule type="duplicateValues" dxfId="5704" priority="196"/>
    <cfRule type="duplicateValues" dxfId="5703" priority="194"/>
    <cfRule type="duplicateValues" dxfId="5702" priority="193"/>
    <cfRule type="duplicateValues" dxfId="5701" priority="192"/>
    <cfRule type="duplicateValues" dxfId="5700" priority="191"/>
    <cfRule type="duplicateValues" dxfId="5699" priority="190"/>
  </conditionalFormatting>
  <conditionalFormatting sqref="C307">
    <cfRule type="duplicateValues" dxfId="5698" priority="568"/>
    <cfRule type="duplicateValues" dxfId="5697" priority="569"/>
    <cfRule type="duplicateValues" dxfId="5696" priority="570"/>
    <cfRule type="duplicateValues" dxfId="5695" priority="571"/>
    <cfRule type="duplicateValues" dxfId="5694" priority="572"/>
    <cfRule type="duplicateValues" dxfId="5693" priority="573"/>
    <cfRule type="duplicateValues" dxfId="5692" priority="574"/>
    <cfRule type="duplicateValues" dxfId="5691" priority="575"/>
    <cfRule type="duplicateValues" dxfId="5690" priority="576"/>
    <cfRule type="duplicateValues" dxfId="5689" priority="577"/>
    <cfRule type="duplicateValues" dxfId="5688" priority="578"/>
    <cfRule type="duplicateValues" dxfId="5687" priority="579"/>
    <cfRule type="duplicateValues" dxfId="5686" priority="559"/>
    <cfRule type="duplicateValues" dxfId="5685" priority="551"/>
    <cfRule type="duplicateValues" dxfId="5684" priority="552"/>
    <cfRule type="duplicateValues" dxfId="5683" priority="553"/>
    <cfRule type="duplicateValues" dxfId="5682" priority="554"/>
    <cfRule type="duplicateValues" dxfId="5681" priority="555"/>
    <cfRule type="duplicateValues" dxfId="5680" priority="556"/>
    <cfRule type="duplicateValues" dxfId="5679" priority="557"/>
    <cfRule type="duplicateValues" dxfId="5678" priority="558"/>
    <cfRule type="duplicateValues" dxfId="5677" priority="560"/>
    <cfRule type="duplicateValues" dxfId="5676" priority="561"/>
    <cfRule type="duplicateValues" dxfId="5675" priority="562"/>
    <cfRule type="duplicateValues" dxfId="5674" priority="563"/>
    <cfRule type="duplicateValues" dxfId="5673" priority="564"/>
    <cfRule type="duplicateValues" dxfId="5672" priority="565"/>
    <cfRule type="duplicateValues" dxfId="5671" priority="566"/>
    <cfRule type="duplicateValues" dxfId="5670" priority="567"/>
  </conditionalFormatting>
  <conditionalFormatting sqref="C309">
    <cfRule type="duplicateValues" dxfId="5669" priority="433"/>
    <cfRule type="duplicateValues" dxfId="5668" priority="434"/>
    <cfRule type="duplicateValues" dxfId="5667" priority="435"/>
    <cfRule type="duplicateValues" dxfId="5666" priority="436"/>
    <cfRule type="duplicateValues" dxfId="5665" priority="437"/>
    <cfRule type="duplicateValues" dxfId="5664" priority="418"/>
    <cfRule type="duplicateValues" dxfId="5663" priority="438"/>
    <cfRule type="duplicateValues" dxfId="5662" priority="432"/>
    <cfRule type="duplicateValues" dxfId="5661" priority="427"/>
    <cfRule type="duplicateValues" dxfId="5660" priority="428"/>
    <cfRule type="duplicateValues" dxfId="5659" priority="439"/>
    <cfRule type="duplicateValues" dxfId="5658" priority="440"/>
    <cfRule type="duplicateValues" dxfId="5657" priority="441"/>
    <cfRule type="duplicateValues" dxfId="5656" priority="429"/>
    <cfRule type="duplicateValues" dxfId="5655" priority="442"/>
    <cfRule type="duplicateValues" dxfId="5654" priority="430"/>
    <cfRule type="duplicateValues" dxfId="5653" priority="431"/>
    <cfRule type="duplicateValues" dxfId="5652" priority="443"/>
    <cfRule type="duplicateValues" dxfId="5651" priority="444"/>
    <cfRule type="duplicateValues" dxfId="5650" priority="446"/>
    <cfRule type="duplicateValues" dxfId="5649" priority="445"/>
    <cfRule type="duplicateValues" dxfId="5648" priority="419"/>
    <cfRule type="duplicateValues" dxfId="5647" priority="420"/>
    <cfRule type="duplicateValues" dxfId="5646" priority="421"/>
    <cfRule type="duplicateValues" dxfId="5645" priority="422"/>
    <cfRule type="duplicateValues" dxfId="5644" priority="423"/>
    <cfRule type="duplicateValues" dxfId="5643" priority="424"/>
    <cfRule type="duplicateValues" dxfId="5642" priority="425"/>
    <cfRule type="duplicateValues" dxfId="5641" priority="426"/>
  </conditionalFormatting>
  <conditionalFormatting sqref="C310">
    <cfRule type="duplicateValues" dxfId="5640" priority="144"/>
  </conditionalFormatting>
  <conditionalFormatting sqref="C311">
    <cfRule type="duplicateValues" dxfId="5639" priority="143"/>
  </conditionalFormatting>
  <conditionalFormatting sqref="C313">
    <cfRule type="duplicateValues" dxfId="5638" priority="98"/>
    <cfRule type="duplicateValues" dxfId="5637" priority="99"/>
    <cfRule type="duplicateValues" dxfId="5636" priority="97"/>
  </conditionalFormatting>
  <conditionalFormatting sqref="C314 C305 C336 C308 C312 C317:C318 C333 C324:C327">
    <cfRule type="duplicateValues" dxfId="5635" priority="1157"/>
    <cfRule type="duplicateValues" dxfId="5634" priority="1156"/>
    <cfRule type="duplicateValues" dxfId="5633" priority="1180"/>
  </conditionalFormatting>
  <conditionalFormatting sqref="C315">
    <cfRule type="duplicateValues" dxfId="5632" priority="408"/>
    <cfRule type="duplicateValues" dxfId="5631" priority="409"/>
    <cfRule type="duplicateValues" dxfId="5630" priority="397"/>
    <cfRule type="duplicateValues" dxfId="5629" priority="398"/>
    <cfRule type="duplicateValues" dxfId="5628" priority="410"/>
    <cfRule type="duplicateValues" dxfId="5627" priority="399"/>
    <cfRule type="duplicateValues" dxfId="5626" priority="400"/>
    <cfRule type="duplicateValues" dxfId="5625" priority="404"/>
    <cfRule type="duplicateValues" dxfId="5624" priority="401"/>
    <cfRule type="duplicateValues" dxfId="5623" priority="402"/>
    <cfRule type="duplicateValues" dxfId="5622" priority="403"/>
    <cfRule type="duplicateValues" dxfId="5621" priority="405"/>
    <cfRule type="duplicateValues" dxfId="5620" priority="406"/>
    <cfRule type="duplicateValues" dxfId="5619" priority="407"/>
    <cfRule type="duplicateValues" dxfId="5618" priority="396"/>
    <cfRule type="duplicateValues" dxfId="5617" priority="382"/>
    <cfRule type="duplicateValues" dxfId="5616" priority="383"/>
    <cfRule type="duplicateValues" dxfId="5615" priority="391"/>
    <cfRule type="duplicateValues" dxfId="5614" priority="384"/>
    <cfRule type="duplicateValues" dxfId="5613" priority="385"/>
    <cfRule type="duplicateValues" dxfId="5612" priority="386"/>
    <cfRule type="duplicateValues" dxfId="5611" priority="387"/>
    <cfRule type="duplicateValues" dxfId="5610" priority="388"/>
    <cfRule type="duplicateValues" dxfId="5609" priority="389"/>
    <cfRule type="duplicateValues" dxfId="5608" priority="390"/>
    <cfRule type="duplicateValues" dxfId="5607" priority="392"/>
    <cfRule type="duplicateValues" dxfId="5606" priority="393"/>
    <cfRule type="duplicateValues" dxfId="5605" priority="394"/>
    <cfRule type="duplicateValues" dxfId="5604" priority="395"/>
  </conditionalFormatting>
  <conditionalFormatting sqref="C316">
    <cfRule type="duplicateValues" dxfId="5603" priority="103"/>
    <cfRule type="duplicateValues" dxfId="5602" priority="102"/>
  </conditionalFormatting>
  <conditionalFormatting sqref="C319">
    <cfRule type="duplicateValues" dxfId="5601" priority="53"/>
  </conditionalFormatting>
  <conditionalFormatting sqref="C320 C323">
    <cfRule type="duplicateValues" dxfId="5600" priority="52"/>
  </conditionalFormatting>
  <conditionalFormatting sqref="C321:C322">
    <cfRule type="duplicateValues" dxfId="5599" priority="17"/>
    <cfRule type="duplicateValues" dxfId="5598" priority="18"/>
  </conditionalFormatting>
  <conditionalFormatting sqref="C331">
    <cfRule type="duplicateValues" dxfId="5597" priority="1"/>
    <cfRule type="duplicateValues" dxfId="5596" priority="2"/>
  </conditionalFormatting>
  <conditionalFormatting sqref="C334">
    <cfRule type="duplicateValues" dxfId="5595" priority="77"/>
    <cfRule type="duplicateValues" dxfId="5594" priority="76"/>
    <cfRule type="duplicateValues" dxfId="5593" priority="75"/>
  </conditionalFormatting>
  <conditionalFormatting sqref="C337">
    <cfRule type="duplicateValues" dxfId="5592" priority="18188"/>
  </conditionalFormatting>
  <conditionalFormatting sqref="C338:C339">
    <cfRule type="duplicateValues" dxfId="5591" priority="628"/>
    <cfRule type="duplicateValues" dxfId="5590" priority="627"/>
    <cfRule type="duplicateValues" dxfId="5589" priority="626"/>
    <cfRule type="duplicateValues" dxfId="5588" priority="625"/>
    <cfRule type="duplicateValues" dxfId="5587" priority="624"/>
    <cfRule type="duplicateValues" dxfId="5586" priority="623"/>
    <cfRule type="duplicateValues" dxfId="5585" priority="609"/>
    <cfRule type="duplicateValues" dxfId="5584" priority="611"/>
    <cfRule type="duplicateValues" dxfId="5583" priority="613"/>
    <cfRule type="duplicateValues" dxfId="5582" priority="614"/>
    <cfRule type="duplicateValues" dxfId="5581" priority="616"/>
    <cfRule type="duplicateValues" dxfId="5580" priority="617"/>
    <cfRule type="duplicateValues" dxfId="5579" priority="618"/>
    <cfRule type="duplicateValues" dxfId="5578" priority="619"/>
    <cfRule type="duplicateValues" dxfId="5577" priority="620"/>
    <cfRule type="duplicateValues" dxfId="5576" priority="615"/>
    <cfRule type="duplicateValues" dxfId="5575" priority="621"/>
    <cfRule type="duplicateValues" dxfId="5574" priority="622"/>
    <cfRule type="duplicateValues" dxfId="5573" priority="612"/>
    <cfRule type="duplicateValues" dxfId="5572" priority="636"/>
    <cfRule type="duplicateValues" dxfId="5571" priority="637"/>
    <cfRule type="duplicateValues" dxfId="5570" priority="635"/>
    <cfRule type="duplicateValues" dxfId="5569" priority="634"/>
    <cfRule type="duplicateValues" dxfId="5568" priority="610"/>
    <cfRule type="duplicateValues" dxfId="5567" priority="633"/>
    <cfRule type="duplicateValues" dxfId="5566" priority="632"/>
    <cfRule type="duplicateValues" dxfId="5565" priority="631"/>
    <cfRule type="duplicateValues" dxfId="5564" priority="630"/>
    <cfRule type="duplicateValues" dxfId="5563" priority="629"/>
  </conditionalFormatting>
  <conditionalFormatting sqref="C340">
    <cfRule type="duplicateValues" dxfId="5562" priority="114"/>
    <cfRule type="duplicateValues" dxfId="5561" priority="115"/>
  </conditionalFormatting>
  <conditionalFormatting sqref="C341:C343">
    <cfRule type="duplicateValues" dxfId="5560" priority="113"/>
    <cfRule type="duplicateValues" dxfId="5559" priority="112"/>
  </conditionalFormatting>
  <conditionalFormatting sqref="C344">
    <cfRule type="duplicateValues" dxfId="5558" priority="110"/>
    <cfRule type="duplicateValues" dxfId="5557" priority="111"/>
  </conditionalFormatting>
  <conditionalFormatting sqref="C345">
    <cfRule type="duplicateValues" dxfId="5556" priority="718"/>
    <cfRule type="duplicateValues" dxfId="5555" priority="719"/>
    <cfRule type="duplicateValues" dxfId="5554" priority="701"/>
    <cfRule type="duplicateValues" dxfId="5553" priority="702"/>
    <cfRule type="duplicateValues" dxfId="5552" priority="703"/>
    <cfRule type="duplicateValues" dxfId="5551" priority="704"/>
    <cfRule type="duplicateValues" dxfId="5550" priority="705"/>
    <cfRule type="duplicateValues" dxfId="5549" priority="706"/>
    <cfRule type="duplicateValues" dxfId="5548" priority="707"/>
    <cfRule type="duplicateValues" dxfId="5547" priority="708"/>
    <cfRule type="duplicateValues" dxfId="5546" priority="721"/>
    <cfRule type="duplicateValues" dxfId="5545" priority="720"/>
    <cfRule type="duplicateValues" dxfId="5544" priority="729"/>
    <cfRule type="duplicateValues" dxfId="5543" priority="710"/>
    <cfRule type="duplicateValues" dxfId="5542" priority="728"/>
    <cfRule type="duplicateValues" dxfId="5541" priority="727"/>
    <cfRule type="duplicateValues" dxfId="5540" priority="711"/>
    <cfRule type="duplicateValues" dxfId="5539" priority="712"/>
    <cfRule type="duplicateValues" dxfId="5538" priority="713"/>
    <cfRule type="duplicateValues" dxfId="5537" priority="714"/>
    <cfRule type="duplicateValues" dxfId="5536" priority="715"/>
    <cfRule type="duplicateValues" dxfId="5535" priority="726"/>
    <cfRule type="duplicateValues" dxfId="5534" priority="722"/>
    <cfRule type="duplicateValues" dxfId="5533" priority="723"/>
    <cfRule type="duplicateValues" dxfId="5532" priority="724"/>
    <cfRule type="duplicateValues" dxfId="5531" priority="716"/>
    <cfRule type="duplicateValues" dxfId="5530" priority="717"/>
    <cfRule type="duplicateValues" dxfId="5529" priority="725"/>
    <cfRule type="duplicateValues" dxfId="5528" priority="709"/>
  </conditionalFormatting>
  <conditionalFormatting sqref="C346">
    <cfRule type="duplicateValues" dxfId="5527" priority="472"/>
    <cfRule type="duplicateValues" dxfId="5526" priority="471"/>
    <cfRule type="duplicateValues" dxfId="5525" priority="470"/>
    <cfRule type="duplicateValues" dxfId="5524" priority="469"/>
    <cfRule type="duplicateValues" dxfId="5523" priority="467"/>
    <cfRule type="duplicateValues" dxfId="5522" priority="466"/>
    <cfRule type="duplicateValues" dxfId="5521" priority="465"/>
    <cfRule type="duplicateValues" dxfId="5520" priority="464"/>
    <cfRule type="duplicateValues" dxfId="5519" priority="463"/>
    <cfRule type="duplicateValues" dxfId="5518" priority="462"/>
    <cfRule type="duplicateValues" dxfId="5517" priority="461"/>
    <cfRule type="duplicateValues" dxfId="5516" priority="460"/>
    <cfRule type="duplicateValues" dxfId="5515" priority="459"/>
    <cfRule type="duplicateValues" dxfId="5514" priority="458"/>
    <cfRule type="duplicateValues" dxfId="5513" priority="457"/>
    <cfRule type="duplicateValues" dxfId="5512" priority="456"/>
    <cfRule type="duplicateValues" dxfId="5511" priority="455"/>
    <cfRule type="duplicateValues" dxfId="5510" priority="454"/>
    <cfRule type="duplicateValues" dxfId="5509" priority="453"/>
    <cfRule type="duplicateValues" dxfId="5508" priority="452"/>
    <cfRule type="duplicateValues" dxfId="5507" priority="448"/>
    <cfRule type="duplicateValues" dxfId="5506" priority="451"/>
    <cfRule type="duplicateValues" dxfId="5505" priority="450"/>
    <cfRule type="duplicateValues" dxfId="5504" priority="449"/>
    <cfRule type="duplicateValues" dxfId="5503" priority="476"/>
    <cfRule type="duplicateValues" dxfId="5502" priority="475"/>
    <cfRule type="duplicateValues" dxfId="5501" priority="468"/>
    <cfRule type="duplicateValues" dxfId="5500" priority="474"/>
    <cfRule type="duplicateValues" dxfId="5499" priority="473"/>
  </conditionalFormatting>
  <conditionalFormatting sqref="C347">
    <cfRule type="duplicateValues" dxfId="5498" priority="371"/>
  </conditionalFormatting>
  <conditionalFormatting sqref="C348">
    <cfRule type="duplicateValues" dxfId="5497" priority="370"/>
  </conditionalFormatting>
  <conditionalFormatting sqref="C355:C356">
    <cfRule type="duplicateValues" dxfId="5496" priority="109"/>
    <cfRule type="duplicateValues" dxfId="5495" priority="108"/>
  </conditionalFormatting>
  <conditionalFormatting sqref="C365">
    <cfRule type="duplicateValues" dxfId="5494" priority="31"/>
    <cfRule type="duplicateValues" dxfId="5493" priority="32"/>
    <cfRule type="duplicateValues" dxfId="5492" priority="33"/>
  </conditionalFormatting>
  <conditionalFormatting sqref="C366:C367 C1:C8 C11:C30 C466:C1048576 C186:C223 C114:C116 C323:C330 C379:C380 C118:C140 C32:C40 C229 C234:C297 C142:C181 C369:C374 C299:C320 C46:C112 C382:C463 C42:C44 C332:C364">
    <cfRule type="duplicateValues" dxfId="5491" priority="42"/>
  </conditionalFormatting>
  <conditionalFormatting sqref="C368">
    <cfRule type="duplicateValues" dxfId="5490" priority="11"/>
  </conditionalFormatting>
  <conditionalFormatting sqref="C372:C373">
    <cfRule type="duplicateValues" dxfId="5489" priority="44"/>
  </conditionalFormatting>
  <conditionalFormatting sqref="C374">
    <cfRule type="duplicateValues" dxfId="5488" priority="43"/>
  </conditionalFormatting>
  <conditionalFormatting sqref="C381">
    <cfRule type="duplicateValues" dxfId="5487" priority="8"/>
  </conditionalFormatting>
  <conditionalFormatting sqref="C386">
    <cfRule type="duplicateValues" dxfId="5486" priority="129"/>
  </conditionalFormatting>
  <conditionalFormatting sqref="C387">
    <cfRule type="duplicateValues" dxfId="5485" priority="128"/>
  </conditionalFormatting>
  <conditionalFormatting sqref="C400">
    <cfRule type="duplicateValues" dxfId="5484" priority="1012"/>
  </conditionalFormatting>
  <conditionalFormatting sqref="C401">
    <cfRule type="duplicateValues" dxfId="5483" priority="1011"/>
  </conditionalFormatting>
  <conditionalFormatting sqref="C402:C406 C416:C463 C349 C409 C352 C478:C479 C357:C364 C379:C380 C495 C483 C354 C388:C399 C486:C488 C366:C367 C466:C470 C369:C371 C382:C385">
    <cfRule type="duplicateValues" dxfId="5482" priority="1128"/>
    <cfRule type="duplicateValues" dxfId="5481" priority="1129"/>
    <cfRule type="duplicateValues" dxfId="5480" priority="1152"/>
  </conditionalFormatting>
  <conditionalFormatting sqref="C410">
    <cfRule type="duplicateValues" dxfId="5479" priority="892"/>
  </conditionalFormatting>
  <conditionalFormatting sqref="C411">
    <cfRule type="duplicateValues" dxfId="5478" priority="891"/>
  </conditionalFormatting>
  <conditionalFormatting sqref="C412">
    <cfRule type="duplicateValues" dxfId="5477" priority="890"/>
  </conditionalFormatting>
  <conditionalFormatting sqref="C413:C415">
    <cfRule type="duplicateValues" dxfId="5476" priority="795"/>
  </conditionalFormatting>
  <conditionalFormatting sqref="C464">
    <cfRule type="duplicateValues" dxfId="5475" priority="29"/>
    <cfRule type="duplicateValues" dxfId="5474" priority="30"/>
  </conditionalFormatting>
  <conditionalFormatting sqref="C465">
    <cfRule type="duplicateValues" dxfId="5473" priority="27"/>
    <cfRule type="duplicateValues" dxfId="5472" priority="28"/>
  </conditionalFormatting>
  <conditionalFormatting sqref="C471">
    <cfRule type="duplicateValues" dxfId="5471" priority="1054"/>
    <cfRule type="duplicateValues" dxfId="5470" priority="1053"/>
  </conditionalFormatting>
  <conditionalFormatting sqref="C472:C474">
    <cfRule type="duplicateValues" dxfId="5469" priority="106"/>
    <cfRule type="duplicateValues" dxfId="5468" priority="107"/>
  </conditionalFormatting>
  <conditionalFormatting sqref="C475">
    <cfRule type="duplicateValues" dxfId="5467" priority="105"/>
    <cfRule type="duplicateValues" dxfId="5466" priority="104"/>
  </conditionalFormatting>
  <conditionalFormatting sqref="C476">
    <cfRule type="duplicateValues" dxfId="5465" priority="359"/>
  </conditionalFormatting>
  <conditionalFormatting sqref="C477">
    <cfRule type="duplicateValues" dxfId="5464" priority="358"/>
  </conditionalFormatting>
  <conditionalFormatting sqref="C480">
    <cfRule type="duplicateValues" dxfId="5463" priority="65"/>
  </conditionalFormatting>
  <conditionalFormatting sqref="C481">
    <cfRule type="duplicateValues" dxfId="5462" priority="64"/>
  </conditionalFormatting>
  <conditionalFormatting sqref="C484:C485">
    <cfRule type="duplicateValues" dxfId="5461" priority="74"/>
    <cfRule type="duplicateValues" dxfId="5460" priority="73"/>
    <cfRule type="duplicateValues" dxfId="5459" priority="72"/>
  </conditionalFormatting>
  <conditionalFormatting sqref="C489:C490">
    <cfRule type="duplicateValues" dxfId="5458" priority="177"/>
  </conditionalFormatting>
  <conditionalFormatting sqref="C491">
    <cfRule type="duplicateValues" dxfId="5457" priority="176"/>
  </conditionalFormatting>
  <conditionalFormatting sqref="C492:C494">
    <cfRule type="duplicateValues" dxfId="5456" priority="136"/>
    <cfRule type="duplicateValues" dxfId="5455" priority="137"/>
  </conditionalFormatting>
  <conditionalFormatting sqref="C495:C499 C1:C7 C296:C297 C388:C463 C43:C44 C165 C39 C345:C354 C357:C364 C476:C479 C317:C318 C58:C62 C314:C315 C34:C37 C107:C111 C19 C11:C15 C32 C21:C26 C282:C283 C501:C533 C51:C53 C335:C339 C486:C491 C64:C104 C170 C176:C181 C535:C1048576 C482:C483 C28 C55 C17 C114:C116 C125:C140 C156:C162 C255:C278 C324:C330 C379:C380 C366:C367 C466:C471 C186:C223 C118:C122 C229 C234:C247 C142:C152 C369:C371 C299:C312 C46:C48 C382:C385 C332:C333">
    <cfRule type="duplicateValues" dxfId="5454" priority="141"/>
  </conditionalFormatting>
  <conditionalFormatting sqref="C496 C304 C537 C337">
    <cfRule type="duplicateValues" dxfId="5453" priority="5876"/>
  </conditionalFormatting>
  <conditionalFormatting sqref="C496">
    <cfRule type="duplicateValues" dxfId="5452" priority="18248"/>
  </conditionalFormatting>
  <conditionalFormatting sqref="C497">
    <cfRule type="duplicateValues" dxfId="5451" priority="1049"/>
    <cfRule type="duplicateValues" dxfId="5450" priority="1050"/>
  </conditionalFormatting>
  <conditionalFormatting sqref="C498:C499 C505 C509:C511 C501:C503 C516 C518:C519 C521:C533 C535:C536">
    <cfRule type="duplicateValues" dxfId="5449" priority="1100"/>
    <cfRule type="duplicateValues" dxfId="5448" priority="1101"/>
    <cfRule type="duplicateValues" dxfId="5447" priority="1124"/>
  </conditionalFormatting>
  <conditionalFormatting sqref="C498:C499">
    <cfRule type="duplicateValues" dxfId="5446" priority="1121"/>
    <cfRule type="duplicateValues" dxfId="5445" priority="1107"/>
    <cfRule type="duplicateValues" dxfId="5444" priority="1108"/>
    <cfRule type="duplicateValues" dxfId="5443" priority="1119"/>
    <cfRule type="duplicateValues" dxfId="5442" priority="1114"/>
    <cfRule type="duplicateValues" dxfId="5441" priority="1109"/>
    <cfRule type="duplicateValues" dxfId="5440" priority="1102"/>
    <cfRule type="duplicateValues" dxfId="5439" priority="1117"/>
    <cfRule type="duplicateValues" dxfId="5438" priority="1115"/>
    <cfRule type="duplicateValues" dxfId="5437" priority="1118"/>
    <cfRule type="duplicateValues" dxfId="5436" priority="1097"/>
    <cfRule type="duplicateValues" dxfId="5435" priority="1116"/>
    <cfRule type="duplicateValues" dxfId="5434" priority="1113"/>
    <cfRule type="duplicateValues" dxfId="5433" priority="1120"/>
    <cfRule type="duplicateValues" dxfId="5432" priority="1098"/>
    <cfRule type="duplicateValues" dxfId="5431" priority="1099"/>
    <cfRule type="duplicateValues" dxfId="5430" priority="1105"/>
    <cfRule type="duplicateValues" dxfId="5429" priority="1103"/>
    <cfRule type="duplicateValues" dxfId="5428" priority="1104"/>
    <cfRule type="duplicateValues" dxfId="5427" priority="1106"/>
    <cfRule type="duplicateValues" dxfId="5426" priority="1112"/>
    <cfRule type="duplicateValues" dxfId="5425" priority="1110"/>
    <cfRule type="duplicateValues" dxfId="5424" priority="1111"/>
    <cfRule type="duplicateValues" dxfId="5423" priority="1122"/>
    <cfRule type="duplicateValues" dxfId="5422" priority="1123"/>
  </conditionalFormatting>
  <conditionalFormatting sqref="C500">
    <cfRule type="duplicateValues" dxfId="5421" priority="84"/>
  </conditionalFormatting>
  <conditionalFormatting sqref="C504">
    <cfRule type="duplicateValues" dxfId="5420" priority="589"/>
    <cfRule type="duplicateValues" dxfId="5419" priority="595"/>
    <cfRule type="duplicateValues" dxfId="5418" priority="584"/>
    <cfRule type="duplicateValues" dxfId="5417" priority="601"/>
    <cfRule type="duplicateValues" dxfId="5416" priority="590"/>
    <cfRule type="duplicateValues" dxfId="5415" priority="583"/>
    <cfRule type="duplicateValues" dxfId="5414" priority="582"/>
    <cfRule type="duplicateValues" dxfId="5413" priority="581"/>
    <cfRule type="duplicateValues" dxfId="5412" priority="580"/>
    <cfRule type="duplicateValues" dxfId="5411" priority="585"/>
    <cfRule type="duplicateValues" dxfId="5410" priority="594"/>
    <cfRule type="duplicateValues" dxfId="5409" priority="593"/>
    <cfRule type="duplicateValues" dxfId="5408" priority="592"/>
    <cfRule type="duplicateValues" dxfId="5407" priority="586"/>
    <cfRule type="duplicateValues" dxfId="5406" priority="608"/>
    <cfRule type="duplicateValues" dxfId="5405" priority="607"/>
    <cfRule type="duplicateValues" dxfId="5404" priority="606"/>
    <cfRule type="duplicateValues" dxfId="5403" priority="605"/>
    <cfRule type="duplicateValues" dxfId="5402" priority="604"/>
    <cfRule type="duplicateValues" dxfId="5401" priority="603"/>
    <cfRule type="duplicateValues" dxfId="5400" priority="602"/>
    <cfRule type="duplicateValues" dxfId="5399" priority="600"/>
    <cfRule type="duplicateValues" dxfId="5398" priority="599"/>
    <cfRule type="duplicateValues" dxfId="5397" priority="598"/>
    <cfRule type="duplicateValues" dxfId="5396" priority="597"/>
    <cfRule type="duplicateValues" dxfId="5395" priority="596"/>
    <cfRule type="duplicateValues" dxfId="5394" priority="587"/>
    <cfRule type="duplicateValues" dxfId="5393" priority="591"/>
    <cfRule type="duplicateValues" dxfId="5392" priority="588"/>
  </conditionalFormatting>
  <conditionalFormatting sqref="C506:C507">
    <cfRule type="duplicateValues" dxfId="5391" priority="515"/>
  </conditionalFormatting>
  <conditionalFormatting sqref="C508">
    <cfRule type="duplicateValues" dxfId="5390" priority="514"/>
  </conditionalFormatting>
  <conditionalFormatting sqref="C512">
    <cfRule type="duplicateValues" dxfId="5389" priority="372"/>
    <cfRule type="duplicateValues" dxfId="5388" priority="373"/>
    <cfRule type="duplicateValues" dxfId="5387" priority="374"/>
    <cfRule type="duplicateValues" dxfId="5386" priority="375"/>
  </conditionalFormatting>
  <conditionalFormatting sqref="C513">
    <cfRule type="duplicateValues" dxfId="5385" priority="363"/>
  </conditionalFormatting>
  <conditionalFormatting sqref="C514">
    <cfRule type="duplicateValues" dxfId="5384" priority="333"/>
    <cfRule type="duplicateValues" dxfId="5383" priority="332"/>
  </conditionalFormatting>
  <conditionalFormatting sqref="C515">
    <cfRule type="duplicateValues" dxfId="5382" priority="325"/>
    <cfRule type="duplicateValues" dxfId="5381" priority="326"/>
  </conditionalFormatting>
  <conditionalFormatting sqref="C517">
    <cfRule type="duplicateValues" dxfId="5380" priority="242"/>
    <cfRule type="duplicateValues" dxfId="5379" priority="246"/>
    <cfRule type="duplicateValues" dxfId="5378" priority="243"/>
    <cfRule type="duplicateValues" dxfId="5377" priority="245"/>
    <cfRule type="duplicateValues" dxfId="5376" priority="244"/>
  </conditionalFormatting>
  <conditionalFormatting sqref="C520">
    <cfRule type="duplicateValues" dxfId="5375" priority="241"/>
    <cfRule type="duplicateValues" dxfId="5374" priority="240"/>
  </conditionalFormatting>
  <conditionalFormatting sqref="C534">
    <cfRule type="duplicateValues" dxfId="5373" priority="66"/>
  </conditionalFormatting>
  <conditionalFormatting sqref="C537">
    <cfRule type="duplicateValues" dxfId="5372" priority="9176"/>
    <cfRule type="duplicateValues" dxfId="5371" priority="9223"/>
    <cfRule type="duplicateValues" dxfId="5370" priority="9427"/>
  </conditionalFormatting>
  <conditionalFormatting sqref="C538:C542">
    <cfRule type="duplicateValues" dxfId="5369" priority="863"/>
    <cfRule type="duplicateValues" dxfId="5368" priority="862"/>
    <cfRule type="duplicateValues" dxfId="5367" priority="861"/>
    <cfRule type="duplicateValues" dxfId="5366" priority="860"/>
    <cfRule type="duplicateValues" dxfId="5365" priority="867"/>
    <cfRule type="duplicateValues" dxfId="5364" priority="888"/>
    <cfRule type="duplicateValues" dxfId="5363" priority="887"/>
    <cfRule type="duplicateValues" dxfId="5362" priority="882"/>
    <cfRule type="duplicateValues" dxfId="5361" priority="884"/>
    <cfRule type="duplicateValues" dxfId="5360" priority="881"/>
    <cfRule type="duplicateValues" dxfId="5359" priority="880"/>
    <cfRule type="duplicateValues" dxfId="5358" priority="879"/>
    <cfRule type="duplicateValues" dxfId="5357" priority="878"/>
    <cfRule type="duplicateValues" dxfId="5356" priority="877"/>
    <cfRule type="duplicateValues" dxfId="5355" priority="883"/>
    <cfRule type="duplicateValues" dxfId="5354" priority="885"/>
    <cfRule type="duplicateValues" dxfId="5353" priority="876"/>
    <cfRule type="duplicateValues" dxfId="5352" priority="874"/>
    <cfRule type="duplicateValues" dxfId="5351" priority="875"/>
    <cfRule type="duplicateValues" dxfId="5350" priority="873"/>
    <cfRule type="duplicateValues" dxfId="5349" priority="869"/>
    <cfRule type="duplicateValues" dxfId="5348" priority="872"/>
    <cfRule type="duplicateValues" dxfId="5347" priority="868"/>
    <cfRule type="duplicateValues" dxfId="5346" priority="866"/>
    <cfRule type="duplicateValues" dxfId="5345" priority="865"/>
    <cfRule type="duplicateValues" dxfId="5344" priority="864"/>
    <cfRule type="duplicateValues" dxfId="5343" priority="871"/>
    <cfRule type="duplicateValues" dxfId="5342" priority="870"/>
    <cfRule type="duplicateValues" dxfId="5341" priority="886"/>
  </conditionalFormatting>
  <conditionalFormatting sqref="C538:C578">
    <cfRule type="duplicateValues" dxfId="5340" priority="20645"/>
  </conditionalFormatting>
  <conditionalFormatting sqref="C543:C545">
    <cfRule type="duplicateValues" dxfId="5339" priority="1070"/>
    <cfRule type="duplicateValues" dxfId="5338" priority="1069"/>
    <cfRule type="duplicateValues" dxfId="5337" priority="1074"/>
    <cfRule type="duplicateValues" dxfId="5336" priority="1075"/>
    <cfRule type="duplicateValues" dxfId="5335" priority="1076"/>
    <cfRule type="duplicateValues" dxfId="5334" priority="1077"/>
    <cfRule type="duplicateValues" dxfId="5333" priority="1078"/>
    <cfRule type="duplicateValues" dxfId="5332" priority="1079"/>
    <cfRule type="duplicateValues" dxfId="5331" priority="1080"/>
    <cfRule type="duplicateValues" dxfId="5330" priority="1081"/>
    <cfRule type="duplicateValues" dxfId="5329" priority="1082"/>
    <cfRule type="duplicateValues" dxfId="5328" priority="1083"/>
    <cfRule type="duplicateValues" dxfId="5327" priority="1084"/>
    <cfRule type="duplicateValues" dxfId="5326" priority="1085"/>
    <cfRule type="duplicateValues" dxfId="5325" priority="1086"/>
    <cfRule type="duplicateValues" dxfId="5324" priority="1087"/>
    <cfRule type="duplicateValues" dxfId="5323" priority="1088"/>
    <cfRule type="duplicateValues" dxfId="5322" priority="1089"/>
    <cfRule type="duplicateValues" dxfId="5321" priority="1090"/>
    <cfRule type="duplicateValues" dxfId="5320" priority="1091"/>
    <cfRule type="duplicateValues" dxfId="5319" priority="1092"/>
    <cfRule type="duplicateValues" dxfId="5318" priority="1093"/>
    <cfRule type="duplicateValues" dxfId="5317" priority="1094"/>
    <cfRule type="duplicateValues" dxfId="5316" priority="1095"/>
    <cfRule type="duplicateValues" dxfId="5315" priority="1071"/>
  </conditionalFormatting>
  <conditionalFormatting sqref="C546">
    <cfRule type="duplicateValues" dxfId="5314" priority="775"/>
    <cfRule type="duplicateValues" dxfId="5313" priority="776"/>
    <cfRule type="duplicateValues" dxfId="5312" priority="777"/>
    <cfRule type="duplicateValues" dxfId="5311" priority="778"/>
    <cfRule type="duplicateValues" dxfId="5310" priority="779"/>
    <cfRule type="duplicateValues" dxfId="5309" priority="780"/>
    <cfRule type="duplicateValues" dxfId="5308" priority="781"/>
    <cfRule type="duplicateValues" dxfId="5307" priority="782"/>
    <cfRule type="duplicateValues" dxfId="5306" priority="783"/>
    <cfRule type="duplicateValues" dxfId="5305" priority="784"/>
    <cfRule type="duplicateValues" dxfId="5304" priority="773"/>
    <cfRule type="duplicateValues" dxfId="5303" priority="785"/>
    <cfRule type="duplicateValues" dxfId="5302" priority="786"/>
    <cfRule type="duplicateValues" dxfId="5301" priority="774"/>
    <cfRule type="duplicateValues" dxfId="5300" priority="787"/>
    <cfRule type="duplicateValues" dxfId="5299" priority="788"/>
    <cfRule type="duplicateValues" dxfId="5298" priority="789"/>
    <cfRule type="duplicateValues" dxfId="5297" priority="790"/>
    <cfRule type="duplicateValues" dxfId="5296" priority="791"/>
    <cfRule type="duplicateValues" dxfId="5295" priority="792"/>
    <cfRule type="duplicateValues" dxfId="5294" priority="793"/>
    <cfRule type="duplicateValues" dxfId="5293" priority="771"/>
    <cfRule type="duplicateValues" dxfId="5292" priority="770"/>
    <cfRule type="duplicateValues" dxfId="5291" priority="769"/>
    <cfRule type="duplicateValues" dxfId="5290" priority="768"/>
    <cfRule type="duplicateValues" dxfId="5289" priority="794"/>
    <cfRule type="duplicateValues" dxfId="5288" priority="767"/>
    <cfRule type="duplicateValues" dxfId="5287" priority="766"/>
    <cfRule type="duplicateValues" dxfId="5286" priority="772"/>
  </conditionalFormatting>
  <conditionalFormatting sqref="C547:C552 C314 C1:C5 C81:C104 C416:C463 C21:C24 C543:C545 C197:C211 C39 C28 C144:C146 C34:C37 C349 C563:C568 C131:C140 C7 C46:C48 C165 C409 C336:C337 C234:C247 C122 C505 C308 C352 C509:C511 C107:C111 C148:C151 C312 C501:C503 C317:C318 C516 C554:C557 C275:C277 C478:C479 C357:C364 C43:C44 C573:C574 C379:C380 C271 C495:C499 C576:C1048576 C333 C222 C518:C519 C521:C533 C265 C483 C354 C296:C297 C388:C406 C11:C15 C51:C53 C486:C488 C170 C176:C181 C535:C537 C55 C17 C114:C116 C125:C129 C255:C261 C324:C327 C366:C367 C466:C471 C186:C192 C118:C120 C369:C371 C299:C305 C382:C385">
    <cfRule type="duplicateValues" dxfId="5285" priority="982"/>
  </conditionalFormatting>
  <conditionalFormatting sqref="C547:C552 C543:C545 C563:C568 C554:C557 C573:C574 C576:C578">
    <cfRule type="duplicateValues" dxfId="5284" priority="1072"/>
    <cfRule type="duplicateValues" dxfId="5283" priority="1073"/>
    <cfRule type="duplicateValues" dxfId="5282" priority="1096"/>
  </conditionalFormatting>
  <conditionalFormatting sqref="C553">
    <cfRule type="duplicateValues" dxfId="5281" priority="367"/>
    <cfRule type="duplicateValues" dxfId="5280" priority="368"/>
    <cfRule type="duplicateValues" dxfId="5279" priority="365"/>
    <cfRule type="duplicateValues" dxfId="5278" priority="366"/>
  </conditionalFormatting>
  <conditionalFormatting sqref="C558:C559">
    <cfRule type="duplicateValues" dxfId="5277" priority="508"/>
  </conditionalFormatting>
  <conditionalFormatting sqref="C560:C562">
    <cfRule type="duplicateValues" dxfId="5276" priority="700"/>
  </conditionalFormatting>
  <conditionalFormatting sqref="C569:C572">
    <cfRule type="duplicateValues" dxfId="5275" priority="337"/>
    <cfRule type="duplicateValues" dxfId="5274" priority="338"/>
    <cfRule type="duplicateValues" dxfId="5273" priority="339"/>
    <cfRule type="duplicateValues" dxfId="5272" priority="336"/>
    <cfRule type="duplicateValues" dxfId="5271" priority="335"/>
  </conditionalFormatting>
  <conditionalFormatting sqref="C573:C574 C1:C7 C195:C211 C516 C379:C380 C21:C24 C283 C271:C277 C357:C364 C32 C19 C161:C162 C495:C499 C576:C1048576 C314:C315 C333 C222 C229 C518:C519 C265 C483 C354 C521:C533 C307:C309 C352 C26 C70:C104 C312 C296:C297 C388:C463 C43:C44 C165 C39 C345:C349 C476:C479 C317:C318 C58:C62 C34:C37 C107:C111 C11:C15 C501:C513 C51:C53 C335:C339 C486:C488 C64:C68 C170 C176:C181 C535:C568 C28 C55 C17 C114:C116 C125:C140 C156 C255:C261 C324:C327 C366:C367 C466:C471 C186:C192 C118:C122 C234:C247 C142:C152 C369:C371 C299:C305 C46:C48 C382:C385">
    <cfRule type="duplicateValues" dxfId="5270" priority="348"/>
  </conditionalFormatting>
  <conditionalFormatting sqref="C575">
    <cfRule type="duplicateValues" dxfId="5269" priority="272"/>
    <cfRule type="duplicateValues" dxfId="5268" priority="271"/>
    <cfRule type="duplicateValues" dxfId="5267" priority="273"/>
  </conditionalFormatting>
  <conditionalFormatting sqref="C579:C1048576 C1:C3">
    <cfRule type="duplicateValues" dxfId="5266" priority="18037"/>
  </conditionalFormatting>
  <conditionalFormatting sqref="C579:C1048576 C337 C1:C4 C23 C55 C496 C102 C304 C537 C145">
    <cfRule type="duplicateValues" dxfId="5265" priority="18056"/>
  </conditionalFormatting>
  <conditionalFormatting sqref="C579:C1048576 C337 C1:C5 C23 C496 C304 C145 C55 C537 C102">
    <cfRule type="duplicateValues" dxfId="5264" priority="18356"/>
  </conditionalFormatting>
  <conditionalFormatting sqref="C579:C1048576 C337 C1:C5 C102 C55 C496 C304 C23 C537 C145">
    <cfRule type="duplicateValues" dxfId="5263" priority="18176"/>
  </conditionalFormatting>
  <conditionalFormatting sqref="C579:C1048576 C337 C1:C5 C102 C537 C304 C55 C23 C496 C145">
    <cfRule type="duplicateValues" dxfId="5262" priority="18296"/>
    <cfRule type="duplicateValues" dxfId="5261" priority="18320"/>
    <cfRule type="duplicateValues" dxfId="5260" priority="18321"/>
  </conditionalFormatting>
  <conditionalFormatting sqref="C579:C1048576 C337 C1:C5 C496 C102 C23 C145 C55 C304 C537">
    <cfRule type="duplicateValues" dxfId="5259" priority="18116"/>
  </conditionalFormatting>
  <conditionalFormatting sqref="C579:C1048576 C337 C304 C1:C5 C23 C102 C537 C55 C496 C145">
    <cfRule type="duplicateValues" dxfId="5258" priority="18260"/>
  </conditionalFormatting>
  <conditionalFormatting sqref="C579:C1048576 C337 C304 C1:C5 C102 C537 C55 C23 C496 C145">
    <cfRule type="duplicateValues" dxfId="5257" priority="18272"/>
  </conditionalFormatting>
  <conditionalFormatting sqref="C579:C1048576 C496 C1:C5 C23 C55 C537 C304 C337 C102 C145">
    <cfRule type="duplicateValues" dxfId="5256" priority="18200"/>
  </conditionalFormatting>
  <conditionalFormatting sqref="C579:C1048576 C496 C1:C5 C102 C23 C145 C304 C537 C55 C337">
    <cfRule type="duplicateValues" dxfId="5255" priority="18128"/>
  </conditionalFormatting>
  <conditionalFormatting sqref="C579:C1048576 C496 C1:C5 C304 C337 C537 C23 C102 C55 C145">
    <cfRule type="duplicateValues" dxfId="5254" priority="18212"/>
  </conditionalFormatting>
  <conditionalFormatting sqref="C579:C1048576 C496 C1:C5 C337 C23 C304 C102 C145 C55 C537">
    <cfRule type="duplicateValues" dxfId="5253" priority="18092"/>
  </conditionalFormatting>
  <conditionalFormatting sqref="C579:C1048576 C496 C1:C5 C337 C23 C304 C145 C55 C537 C102">
    <cfRule type="duplicateValues" dxfId="5252" priority="18368"/>
  </conditionalFormatting>
  <conditionalFormatting sqref="C579:C1048576 C496 C1:C5 C337 C102 C23 C145 C55 C304 C537">
    <cfRule type="duplicateValues" dxfId="5251" priority="18104"/>
  </conditionalFormatting>
  <conditionalFormatting sqref="C579:C1048576 C537 C1:C4 C23 C55 C337 C496 C102 C304 C145">
    <cfRule type="duplicateValues" dxfId="5250" priority="18044"/>
  </conditionalFormatting>
  <conditionalFormatting sqref="C579:C1048576 C537 C1:C4 C55 C496 C102 C304 C23 C337 C145">
    <cfRule type="duplicateValues" dxfId="5249" priority="18068"/>
  </conditionalFormatting>
  <conditionalFormatting sqref="C579:C1048576 C537 C1:C4 C102 C304 C55 C145 C23 C496 C337">
    <cfRule type="duplicateValues" dxfId="5248" priority="18080"/>
  </conditionalFormatting>
  <conditionalFormatting sqref="C579:C1048576 C537 C1:C5 C102 C23 C496 C145 C304 C55 C337">
    <cfRule type="duplicateValues" dxfId="5247" priority="18140"/>
  </conditionalFormatting>
  <conditionalFormatting sqref="C579:C1048576 C537 C1:C5 C337 C304 C55 C23 C496 C145 C102">
    <cfRule type="duplicateValues" dxfId="5246" priority="18344"/>
  </conditionalFormatting>
  <conditionalFormatting sqref="C579:C1048576 C537 C55 C1:C5 C23 C102 C145 C304 C337 C496">
    <cfRule type="duplicateValues" dxfId="5245" priority="18164"/>
  </conditionalFormatting>
  <conditionalFormatting sqref="C579:C1048576 C537 C304 C1:C5 C145 C102 C496 C55 C337 C23">
    <cfRule type="duplicateValues" dxfId="5244" priority="18152"/>
  </conditionalFormatting>
  <conditionalFormatting sqref="C579:C1048576">
    <cfRule type="duplicateValues" dxfId="5243" priority="18041"/>
  </conditionalFormatting>
  <conditionalFormatting sqref="K2:M3">
    <cfRule type="cellIs" dxfId="5242" priority="10274" operator="lessThan">
      <formula>0</formula>
    </cfRule>
  </conditionalFormatting>
  <conditionalFormatting sqref="L5:L22 L24:L54 L56:L101 L103:L144 L146:L303 L305:L336 L338:L495 L497:L536 L538:L578">
    <cfRule type="cellIs" dxfId="5241" priority="11615" operator="lessThan">
      <formula>0</formula>
    </cfRule>
  </conditionalFormatting>
  <pageMargins left="0.15748031496062992" right="0.15748031496062992" top="0.23622047244094491" bottom="0.19685039370078741" header="0.23622047244094491" footer="0.15748031496062992"/>
  <pageSetup paperSize="9" scale="80" pageOrder="overThenDown" orientation="landscape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I681"/>
  <sheetViews>
    <sheetView zoomScale="115" zoomScaleNormal="115" workbookViewId="0">
      <pane xSplit="4" ySplit="3" topLeftCell="E304" activePane="bottomRight" state="frozen"/>
      <selection pane="topRight" activeCell="E1" sqref="E1"/>
      <selection pane="bottomLeft" activeCell="A4" sqref="A4"/>
      <selection pane="bottomRight" activeCell="C318" sqref="C318"/>
    </sheetView>
  </sheetViews>
  <sheetFormatPr defaultRowHeight="15" x14ac:dyDescent="0.25"/>
  <cols>
    <col min="1" max="1" width="7" style="32" customWidth="1"/>
    <col min="2" max="2" width="49.28515625" style="32" bestFit="1" customWidth="1"/>
    <col min="3" max="3" width="24.140625" style="32" bestFit="1" customWidth="1"/>
    <col min="4" max="4" width="13.28515625" style="32" bestFit="1" customWidth="1"/>
    <col min="5" max="5" width="9" style="31" hidden="1" customWidth="1"/>
    <col min="6" max="6" width="6.5703125" style="31" hidden="1" customWidth="1"/>
    <col min="7" max="17" width="9" style="31" hidden="1" customWidth="1"/>
    <col min="18" max="20" width="7.5703125" style="31" hidden="1" customWidth="1"/>
    <col min="21" max="32" width="9" style="31" hidden="1" customWidth="1"/>
    <col min="33" max="35" width="9" style="31" bestFit="1" customWidth="1"/>
    <col min="36" max="16384" width="9.140625" style="32"/>
  </cols>
  <sheetData>
    <row r="1" spans="1:35" ht="15.75" x14ac:dyDescent="0.25">
      <c r="A1" s="192" t="s">
        <v>210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4"/>
    </row>
    <row r="2" spans="1:35" s="47" customFormat="1" x14ac:dyDescent="0.25">
      <c r="A2" s="45" t="s">
        <v>31</v>
      </c>
      <c r="B2" s="45" t="s">
        <v>0</v>
      </c>
      <c r="C2" s="45" t="s">
        <v>90</v>
      </c>
      <c r="D2" s="140" t="s">
        <v>26</v>
      </c>
      <c r="E2" s="46">
        <v>1</v>
      </c>
      <c r="F2" s="46">
        <v>2</v>
      </c>
      <c r="G2" s="46">
        <v>3</v>
      </c>
      <c r="H2" s="46">
        <v>4</v>
      </c>
      <c r="I2" s="46">
        <v>5</v>
      </c>
      <c r="J2" s="46">
        <v>6</v>
      </c>
      <c r="K2" s="46">
        <v>7</v>
      </c>
      <c r="L2" s="46">
        <v>8</v>
      </c>
      <c r="M2" s="46">
        <v>9</v>
      </c>
      <c r="N2" s="46">
        <v>10</v>
      </c>
      <c r="O2" s="46">
        <v>11</v>
      </c>
      <c r="P2" s="46">
        <v>12</v>
      </c>
      <c r="Q2" s="46">
        <v>13</v>
      </c>
      <c r="R2" s="46">
        <v>14</v>
      </c>
      <c r="S2" s="46">
        <v>15</v>
      </c>
      <c r="T2" s="46">
        <v>16</v>
      </c>
      <c r="U2" s="46">
        <v>17</v>
      </c>
      <c r="V2" s="46">
        <v>18</v>
      </c>
      <c r="W2" s="46">
        <v>19</v>
      </c>
      <c r="X2" s="46">
        <v>20</v>
      </c>
      <c r="Y2" s="46">
        <v>21</v>
      </c>
      <c r="Z2" s="46">
        <v>22</v>
      </c>
      <c r="AA2" s="46">
        <v>23</v>
      </c>
      <c r="AB2" s="46">
        <v>24</v>
      </c>
      <c r="AC2" s="46">
        <v>25</v>
      </c>
      <c r="AD2" s="46">
        <v>26</v>
      </c>
      <c r="AE2" s="46">
        <v>27</v>
      </c>
      <c r="AF2" s="46">
        <v>28</v>
      </c>
      <c r="AG2" s="46">
        <v>29</v>
      </c>
      <c r="AH2" s="46">
        <v>30</v>
      </c>
      <c r="AI2" s="46">
        <v>31</v>
      </c>
    </row>
    <row r="3" spans="1:35" s="47" customFormat="1" x14ac:dyDescent="0.25">
      <c r="A3" s="141" t="s">
        <v>140</v>
      </c>
      <c r="B3" s="142" t="s">
        <v>120</v>
      </c>
      <c r="C3" s="141" t="s">
        <v>141</v>
      </c>
      <c r="D3" s="148">
        <f t="shared" ref="D3:AI3" si="0">SUM(D4:D21)</f>
        <v>761940</v>
      </c>
      <c r="E3" s="148">
        <f t="shared" si="0"/>
        <v>3883</v>
      </c>
      <c r="F3" s="148">
        <f t="shared" si="0"/>
        <v>0</v>
      </c>
      <c r="G3" s="148">
        <f t="shared" si="0"/>
        <v>900</v>
      </c>
      <c r="H3" s="148">
        <f t="shared" si="0"/>
        <v>0</v>
      </c>
      <c r="I3" s="148">
        <f t="shared" si="0"/>
        <v>1722</v>
      </c>
      <c r="J3" s="148">
        <f t="shared" si="0"/>
        <v>12200</v>
      </c>
      <c r="K3" s="148">
        <f t="shared" si="0"/>
        <v>4520</v>
      </c>
      <c r="L3" s="148">
        <f t="shared" si="0"/>
        <v>29151</v>
      </c>
      <c r="M3" s="148">
        <f t="shared" si="0"/>
        <v>20020</v>
      </c>
      <c r="N3" s="148">
        <f t="shared" si="0"/>
        <v>21711</v>
      </c>
      <c r="O3" s="148">
        <f t="shared" si="0"/>
        <v>27500</v>
      </c>
      <c r="P3" s="148">
        <f t="shared" si="0"/>
        <v>18140</v>
      </c>
      <c r="Q3" s="148">
        <f t="shared" si="0"/>
        <v>13780</v>
      </c>
      <c r="R3" s="148">
        <f t="shared" si="0"/>
        <v>0</v>
      </c>
      <c r="S3" s="148">
        <f t="shared" si="0"/>
        <v>0</v>
      </c>
      <c r="T3" s="148">
        <f t="shared" si="0"/>
        <v>0</v>
      </c>
      <c r="U3" s="148">
        <f t="shared" si="0"/>
        <v>1980</v>
      </c>
      <c r="V3" s="148">
        <f t="shared" si="0"/>
        <v>33000</v>
      </c>
      <c r="W3" s="148">
        <f t="shared" si="0"/>
        <v>9504</v>
      </c>
      <c r="X3" s="148">
        <f t="shared" si="0"/>
        <v>20364</v>
      </c>
      <c r="Y3" s="148">
        <f t="shared" si="0"/>
        <v>39200</v>
      </c>
      <c r="Z3" s="148">
        <f t="shared" si="0"/>
        <v>42300</v>
      </c>
      <c r="AA3" s="148">
        <f t="shared" si="0"/>
        <v>35090</v>
      </c>
      <c r="AB3" s="148">
        <f t="shared" si="0"/>
        <v>30956</v>
      </c>
      <c r="AC3" s="148">
        <f t="shared" si="0"/>
        <v>59760</v>
      </c>
      <c r="AD3" s="148">
        <f t="shared" si="0"/>
        <v>60752</v>
      </c>
      <c r="AE3" s="148">
        <f t="shared" si="0"/>
        <v>58120</v>
      </c>
      <c r="AF3" s="148">
        <f t="shared" si="0"/>
        <v>70160</v>
      </c>
      <c r="AG3" s="148">
        <f t="shared" si="0"/>
        <v>65907</v>
      </c>
      <c r="AH3" s="148">
        <f t="shared" si="0"/>
        <v>58200</v>
      </c>
      <c r="AI3" s="148">
        <f t="shared" si="0"/>
        <v>23120</v>
      </c>
    </row>
    <row r="4" spans="1:35" x14ac:dyDescent="0.25">
      <c r="A4" s="48">
        <v>1</v>
      </c>
      <c r="B4" s="166" t="s">
        <v>92</v>
      </c>
      <c r="C4" s="166" t="s">
        <v>91</v>
      </c>
      <c r="D4" s="150">
        <f t="shared" ref="D4:D21" si="1">SUM(E4:AI4)</f>
        <v>106500</v>
      </c>
      <c r="E4" s="48"/>
      <c r="F4" s="48"/>
      <c r="G4" s="35"/>
      <c r="H4" s="35"/>
      <c r="I4" s="35"/>
      <c r="J4" s="35">
        <v>12200</v>
      </c>
      <c r="K4" s="35">
        <v>4520</v>
      </c>
      <c r="L4" s="35">
        <v>13260</v>
      </c>
      <c r="M4" s="48">
        <v>20020</v>
      </c>
      <c r="N4" s="48"/>
      <c r="O4" s="48"/>
      <c r="P4" s="48"/>
      <c r="Q4" s="48"/>
      <c r="R4" s="48"/>
      <c r="S4" s="40"/>
      <c r="T4" s="40"/>
      <c r="U4" s="40"/>
      <c r="V4" s="48">
        <v>10000</v>
      </c>
      <c r="W4" s="48"/>
      <c r="X4" s="48"/>
      <c r="Y4" s="48"/>
      <c r="Z4" s="48"/>
      <c r="AA4" s="48"/>
      <c r="AB4" s="48">
        <v>5920</v>
      </c>
      <c r="AC4" s="48">
        <v>39080</v>
      </c>
      <c r="AD4" s="48">
        <v>1500</v>
      </c>
      <c r="AE4" s="48"/>
      <c r="AF4" s="48"/>
      <c r="AG4" s="48"/>
      <c r="AH4" s="48"/>
      <c r="AI4" s="48"/>
    </row>
    <row r="5" spans="1:35" x14ac:dyDescent="0.25">
      <c r="A5" s="48">
        <v>2</v>
      </c>
      <c r="B5" s="166" t="s">
        <v>824</v>
      </c>
      <c r="C5" s="166" t="s">
        <v>823</v>
      </c>
      <c r="D5" s="150">
        <f t="shared" si="1"/>
        <v>10000</v>
      </c>
      <c r="E5" s="48"/>
      <c r="F5" s="48"/>
      <c r="G5" s="35"/>
      <c r="H5" s="35"/>
      <c r="I5" s="35">
        <v>598</v>
      </c>
      <c r="J5" s="35"/>
      <c r="K5" s="35"/>
      <c r="L5" s="35">
        <v>4391</v>
      </c>
      <c r="M5" s="48"/>
      <c r="N5" s="48">
        <v>11</v>
      </c>
      <c r="O5" s="48"/>
      <c r="P5" s="48"/>
      <c r="Q5" s="48">
        <v>3000</v>
      </c>
      <c r="R5" s="40"/>
      <c r="S5" s="40"/>
      <c r="T5" s="40"/>
      <c r="U5" s="40">
        <v>1980</v>
      </c>
      <c r="V5" s="48"/>
      <c r="W5" s="48"/>
      <c r="X5" s="48"/>
      <c r="Y5" s="48"/>
      <c r="Z5" s="48"/>
      <c r="AA5" s="48"/>
      <c r="AB5" s="48">
        <v>20</v>
      </c>
      <c r="AC5" s="48"/>
      <c r="AD5" s="48"/>
      <c r="AE5" s="48"/>
      <c r="AF5" s="48"/>
      <c r="AG5" s="48"/>
      <c r="AH5" s="48"/>
      <c r="AI5" s="49"/>
    </row>
    <row r="6" spans="1:35" x14ac:dyDescent="0.25">
      <c r="A6" s="48">
        <v>3</v>
      </c>
      <c r="B6" s="166" t="s">
        <v>224</v>
      </c>
      <c r="C6" s="166" t="s">
        <v>223</v>
      </c>
      <c r="D6" s="150">
        <f t="shared" si="1"/>
        <v>1312</v>
      </c>
      <c r="E6" s="48"/>
      <c r="F6" s="48"/>
      <c r="G6" s="35"/>
      <c r="H6" s="35"/>
      <c r="I6" s="35"/>
      <c r="J6" s="35"/>
      <c r="K6" s="35"/>
      <c r="L6" s="35"/>
      <c r="M6" s="48"/>
      <c r="N6" s="48"/>
      <c r="O6" s="48"/>
      <c r="P6" s="48"/>
      <c r="Q6" s="48"/>
      <c r="R6" s="40"/>
      <c r="S6" s="40"/>
      <c r="T6" s="40"/>
      <c r="U6" s="40"/>
      <c r="V6" s="48"/>
      <c r="W6" s="48"/>
      <c r="X6" s="48"/>
      <c r="Y6" s="48"/>
      <c r="Z6" s="48"/>
      <c r="AA6" s="48"/>
      <c r="AB6" s="48"/>
      <c r="AC6" s="48">
        <v>480</v>
      </c>
      <c r="AD6" s="48">
        <v>832</v>
      </c>
      <c r="AE6" s="48"/>
      <c r="AF6" s="48"/>
      <c r="AG6" s="48"/>
      <c r="AH6" s="48"/>
      <c r="AI6" s="49"/>
    </row>
    <row r="7" spans="1:35" x14ac:dyDescent="0.25">
      <c r="A7" s="48">
        <v>4</v>
      </c>
      <c r="B7" s="176" t="s">
        <v>1070</v>
      </c>
      <c r="C7" s="176" t="s">
        <v>1069</v>
      </c>
      <c r="D7" s="150">
        <f t="shared" si="1"/>
        <v>500</v>
      </c>
      <c r="E7" s="48"/>
      <c r="F7" s="48"/>
      <c r="G7" s="35"/>
      <c r="H7" s="35"/>
      <c r="I7" s="35"/>
      <c r="J7" s="35"/>
      <c r="K7" s="35"/>
      <c r="L7" s="35"/>
      <c r="M7" s="48"/>
      <c r="N7" s="48"/>
      <c r="O7" s="48"/>
      <c r="P7" s="48"/>
      <c r="Q7" s="48"/>
      <c r="R7" s="40"/>
      <c r="S7" s="40"/>
      <c r="T7" s="40"/>
      <c r="U7" s="40"/>
      <c r="V7" s="48"/>
      <c r="W7" s="48"/>
      <c r="X7" s="48"/>
      <c r="Y7" s="48"/>
      <c r="Z7" s="48">
        <v>500</v>
      </c>
      <c r="AA7" s="48"/>
      <c r="AB7" s="48"/>
      <c r="AC7" s="48"/>
      <c r="AD7" s="48"/>
      <c r="AE7" s="48"/>
      <c r="AF7" s="48"/>
      <c r="AG7" s="48"/>
      <c r="AH7" s="48"/>
      <c r="AI7" s="49"/>
    </row>
    <row r="8" spans="1:35" x14ac:dyDescent="0.25">
      <c r="A8" s="48">
        <v>5</v>
      </c>
      <c r="B8" s="176" t="s">
        <v>1164</v>
      </c>
      <c r="C8" s="176" t="s">
        <v>1163</v>
      </c>
      <c r="D8" s="150">
        <f t="shared" si="1"/>
        <v>40000</v>
      </c>
      <c r="E8" s="48"/>
      <c r="F8" s="48"/>
      <c r="G8" s="35"/>
      <c r="H8" s="35"/>
      <c r="I8" s="35"/>
      <c r="J8" s="35"/>
      <c r="K8" s="35"/>
      <c r="L8" s="35"/>
      <c r="M8" s="48"/>
      <c r="N8" s="48"/>
      <c r="O8" s="48"/>
      <c r="P8" s="48"/>
      <c r="Q8" s="48"/>
      <c r="R8" s="40"/>
      <c r="S8" s="40"/>
      <c r="T8" s="40"/>
      <c r="U8" s="40"/>
      <c r="V8" s="48"/>
      <c r="W8" s="48"/>
      <c r="X8" s="48"/>
      <c r="Y8" s="48"/>
      <c r="Z8" s="48"/>
      <c r="AA8" s="48"/>
      <c r="AB8" s="48"/>
      <c r="AC8" s="48"/>
      <c r="AD8" s="48">
        <v>10000</v>
      </c>
      <c r="AE8" s="48"/>
      <c r="AF8" s="48">
        <v>9240</v>
      </c>
      <c r="AG8" s="48">
        <v>14800</v>
      </c>
      <c r="AH8" s="48">
        <v>5960</v>
      </c>
      <c r="AI8" s="49"/>
    </row>
    <row r="9" spans="1:35" x14ac:dyDescent="0.25">
      <c r="A9" s="48">
        <v>6</v>
      </c>
      <c r="B9" s="176" t="s">
        <v>1166</v>
      </c>
      <c r="C9" s="176" t="s">
        <v>1165</v>
      </c>
      <c r="D9" s="150">
        <f t="shared" si="1"/>
        <v>0</v>
      </c>
      <c r="E9" s="48"/>
      <c r="F9" s="48"/>
      <c r="G9" s="35"/>
      <c r="H9" s="35"/>
      <c r="I9" s="35"/>
      <c r="J9" s="35"/>
      <c r="K9" s="35"/>
      <c r="L9" s="35"/>
      <c r="M9" s="48"/>
      <c r="N9" s="48"/>
      <c r="O9" s="48"/>
      <c r="P9" s="48"/>
      <c r="Q9" s="48"/>
      <c r="R9" s="40"/>
      <c r="S9" s="40"/>
      <c r="T9" s="40"/>
      <c r="U9" s="40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9"/>
    </row>
    <row r="10" spans="1:35" x14ac:dyDescent="0.25">
      <c r="A10" s="48">
        <v>7</v>
      </c>
      <c r="B10" s="166" t="s">
        <v>276</v>
      </c>
      <c r="C10" s="166" t="s">
        <v>275</v>
      </c>
      <c r="D10" s="150">
        <f t="shared" si="1"/>
        <v>4364</v>
      </c>
      <c r="E10" s="48"/>
      <c r="F10" s="48"/>
      <c r="G10" s="35"/>
      <c r="H10" s="35"/>
      <c r="I10" s="35"/>
      <c r="J10" s="35"/>
      <c r="K10" s="35"/>
      <c r="L10" s="35"/>
      <c r="M10" s="48"/>
      <c r="N10" s="48"/>
      <c r="O10" s="48"/>
      <c r="P10" s="48"/>
      <c r="Q10" s="48"/>
      <c r="R10" s="40"/>
      <c r="S10" s="40"/>
      <c r="T10" s="40"/>
      <c r="U10" s="40"/>
      <c r="V10" s="48"/>
      <c r="W10" s="48"/>
      <c r="X10" s="48">
        <v>4364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1:35" x14ac:dyDescent="0.25">
      <c r="A11" s="48">
        <v>8</v>
      </c>
      <c r="B11" s="166" t="s">
        <v>752</v>
      </c>
      <c r="C11" s="166" t="s">
        <v>751</v>
      </c>
      <c r="D11" s="150">
        <f t="shared" si="1"/>
        <v>19007</v>
      </c>
      <c r="E11" s="48"/>
      <c r="F11" s="48"/>
      <c r="G11" s="35"/>
      <c r="H11" s="35"/>
      <c r="I11" s="35"/>
      <c r="J11" s="35"/>
      <c r="K11" s="35"/>
      <c r="L11" s="35"/>
      <c r="M11" s="48"/>
      <c r="N11" s="48"/>
      <c r="O11" s="48"/>
      <c r="P11" s="48">
        <v>10000</v>
      </c>
      <c r="Q11" s="48">
        <v>9000</v>
      </c>
      <c r="R11" s="40"/>
      <c r="S11" s="40"/>
      <c r="T11" s="40"/>
      <c r="U11" s="40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>
        <v>7</v>
      </c>
      <c r="AH11" s="48"/>
      <c r="AI11" s="49"/>
    </row>
    <row r="12" spans="1:35" x14ac:dyDescent="0.25">
      <c r="A12" s="48">
        <v>9</v>
      </c>
      <c r="B12" s="166" t="s">
        <v>286</v>
      </c>
      <c r="C12" s="166" t="s">
        <v>285</v>
      </c>
      <c r="D12" s="150">
        <f t="shared" si="1"/>
        <v>26300</v>
      </c>
      <c r="E12" s="48"/>
      <c r="F12" s="48"/>
      <c r="G12" s="35"/>
      <c r="H12" s="35"/>
      <c r="I12" s="35"/>
      <c r="J12" s="35"/>
      <c r="K12" s="35"/>
      <c r="L12" s="35"/>
      <c r="M12" s="48"/>
      <c r="N12" s="48"/>
      <c r="O12" s="48"/>
      <c r="P12" s="48"/>
      <c r="Q12" s="48"/>
      <c r="R12" s="40"/>
      <c r="S12" s="40"/>
      <c r="T12" s="40"/>
      <c r="U12" s="40"/>
      <c r="V12" s="48">
        <v>5000</v>
      </c>
      <c r="W12" s="48"/>
      <c r="X12" s="48">
        <v>6000</v>
      </c>
      <c r="Y12" s="48"/>
      <c r="Z12" s="48">
        <v>5300</v>
      </c>
      <c r="AA12" s="48"/>
      <c r="AB12" s="48"/>
      <c r="AC12" s="48"/>
      <c r="AD12" s="48"/>
      <c r="AE12" s="48"/>
      <c r="AF12" s="48"/>
      <c r="AG12" s="48"/>
      <c r="AH12" s="48"/>
      <c r="AI12" s="49">
        <v>10000</v>
      </c>
    </row>
    <row r="13" spans="1:35" x14ac:dyDescent="0.25">
      <c r="A13" s="48">
        <v>10</v>
      </c>
      <c r="B13" s="166" t="s">
        <v>318</v>
      </c>
      <c r="C13" s="166" t="s">
        <v>317</v>
      </c>
      <c r="D13" s="150">
        <f t="shared" si="1"/>
        <v>2000</v>
      </c>
      <c r="E13" s="48"/>
      <c r="F13" s="48"/>
      <c r="G13" s="35"/>
      <c r="H13" s="35"/>
      <c r="I13" s="35"/>
      <c r="J13" s="35"/>
      <c r="K13" s="35"/>
      <c r="L13" s="35"/>
      <c r="M13" s="48"/>
      <c r="N13" s="48"/>
      <c r="O13" s="48"/>
      <c r="P13" s="48"/>
      <c r="Q13" s="48"/>
      <c r="R13" s="40"/>
      <c r="S13" s="40"/>
      <c r="T13" s="40"/>
      <c r="U13" s="40"/>
      <c r="V13" s="48">
        <v>2000</v>
      </c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</row>
    <row r="14" spans="1:35" x14ac:dyDescent="0.25">
      <c r="A14" s="48">
        <v>11</v>
      </c>
      <c r="B14" s="166" t="s">
        <v>330</v>
      </c>
      <c r="C14" s="166" t="s">
        <v>329</v>
      </c>
      <c r="D14" s="150">
        <f t="shared" si="1"/>
        <v>8500</v>
      </c>
      <c r="E14" s="48"/>
      <c r="F14" s="48"/>
      <c r="G14" s="35"/>
      <c r="H14" s="35"/>
      <c r="I14" s="35"/>
      <c r="J14" s="35"/>
      <c r="K14" s="35"/>
      <c r="L14" s="35"/>
      <c r="M14" s="48"/>
      <c r="N14" s="48"/>
      <c r="O14" s="48"/>
      <c r="P14" s="48"/>
      <c r="Q14" s="48"/>
      <c r="R14" s="40"/>
      <c r="S14" s="40"/>
      <c r="T14" s="40"/>
      <c r="U14" s="40"/>
      <c r="V14" s="48"/>
      <c r="W14" s="48">
        <v>5484</v>
      </c>
      <c r="X14" s="48"/>
      <c r="Y14" s="48"/>
      <c r="Z14" s="48"/>
      <c r="AA14" s="48"/>
      <c r="AB14" s="48">
        <v>16</v>
      </c>
      <c r="AC14" s="48"/>
      <c r="AD14" s="48"/>
      <c r="AE14" s="48"/>
      <c r="AF14" s="48"/>
      <c r="AG14" s="48"/>
      <c r="AH14" s="48"/>
      <c r="AI14" s="49">
        <v>3000</v>
      </c>
    </row>
    <row r="15" spans="1:35" x14ac:dyDescent="0.25">
      <c r="A15" s="48">
        <v>12</v>
      </c>
      <c r="B15" s="176" t="s">
        <v>1128</v>
      </c>
      <c r="C15" s="176" t="s">
        <v>1127</v>
      </c>
      <c r="D15" s="150">
        <f t="shared" si="1"/>
        <v>500</v>
      </c>
      <c r="E15" s="48"/>
      <c r="F15" s="48"/>
      <c r="G15" s="35"/>
      <c r="H15" s="35"/>
      <c r="I15" s="35"/>
      <c r="J15" s="35"/>
      <c r="K15" s="35"/>
      <c r="L15" s="35"/>
      <c r="M15" s="48"/>
      <c r="N15" s="48"/>
      <c r="O15" s="48"/>
      <c r="P15" s="48"/>
      <c r="Q15" s="48"/>
      <c r="R15" s="40"/>
      <c r="S15" s="40"/>
      <c r="T15" s="40"/>
      <c r="U15" s="40"/>
      <c r="V15" s="48"/>
      <c r="W15" s="48"/>
      <c r="X15" s="48"/>
      <c r="Y15" s="48"/>
      <c r="Z15" s="48">
        <v>500</v>
      </c>
      <c r="AA15" s="48"/>
      <c r="AB15" s="48"/>
      <c r="AC15" s="48"/>
      <c r="AD15" s="48"/>
      <c r="AE15" s="48"/>
      <c r="AF15" s="48"/>
      <c r="AG15" s="48"/>
      <c r="AH15" s="48"/>
      <c r="AI15" s="49"/>
    </row>
    <row r="16" spans="1:35" x14ac:dyDescent="0.25">
      <c r="A16" s="48">
        <v>13</v>
      </c>
      <c r="B16" s="166" t="s">
        <v>681</v>
      </c>
      <c r="C16" s="166" t="s">
        <v>680</v>
      </c>
      <c r="D16" s="150">
        <f t="shared" si="1"/>
        <v>500</v>
      </c>
      <c r="E16" s="48"/>
      <c r="F16" s="48"/>
      <c r="G16" s="35"/>
      <c r="H16" s="35"/>
      <c r="I16" s="35"/>
      <c r="J16" s="35"/>
      <c r="K16" s="35"/>
      <c r="L16" s="35">
        <v>500</v>
      </c>
      <c r="M16" s="48"/>
      <c r="N16" s="48"/>
      <c r="O16" s="48"/>
      <c r="P16" s="48"/>
      <c r="Q16" s="48"/>
      <c r="R16" s="40"/>
      <c r="S16" s="40"/>
      <c r="T16" s="40"/>
      <c r="U16" s="40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9"/>
    </row>
    <row r="17" spans="1:35" x14ac:dyDescent="0.25">
      <c r="A17" s="48">
        <v>14</v>
      </c>
      <c r="B17" s="176" t="s">
        <v>1068</v>
      </c>
      <c r="C17" s="176" t="s">
        <v>1067</v>
      </c>
      <c r="D17" s="150">
        <f t="shared" si="1"/>
        <v>2620</v>
      </c>
      <c r="E17" s="48"/>
      <c r="F17" s="48"/>
      <c r="G17" s="35"/>
      <c r="H17" s="35"/>
      <c r="I17" s="35"/>
      <c r="J17" s="35"/>
      <c r="K17" s="35"/>
      <c r="L17" s="35"/>
      <c r="M17" s="48"/>
      <c r="N17" s="48"/>
      <c r="O17" s="48"/>
      <c r="P17" s="48"/>
      <c r="Q17" s="48"/>
      <c r="R17" s="40"/>
      <c r="S17" s="40"/>
      <c r="T17" s="40"/>
      <c r="U17" s="40"/>
      <c r="V17" s="48"/>
      <c r="W17" s="48">
        <v>2500</v>
      </c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9">
        <v>120</v>
      </c>
    </row>
    <row r="18" spans="1:35" x14ac:dyDescent="0.25">
      <c r="A18" s="48">
        <v>15</v>
      </c>
      <c r="B18" s="166" t="s">
        <v>784</v>
      </c>
      <c r="C18" s="166" t="s">
        <v>783</v>
      </c>
      <c r="D18" s="150">
        <f t="shared" si="1"/>
        <v>13314</v>
      </c>
      <c r="E18" s="48"/>
      <c r="F18" s="48"/>
      <c r="G18" s="35">
        <v>900</v>
      </c>
      <c r="H18" s="35"/>
      <c r="I18" s="35">
        <v>1124</v>
      </c>
      <c r="J18" s="35"/>
      <c r="K18" s="35"/>
      <c r="L18" s="35">
        <v>3000</v>
      </c>
      <c r="M18" s="48"/>
      <c r="N18" s="48"/>
      <c r="O18" s="48"/>
      <c r="P18" s="48"/>
      <c r="Q18" s="48"/>
      <c r="R18" s="40"/>
      <c r="S18" s="40"/>
      <c r="T18" s="40"/>
      <c r="U18" s="40"/>
      <c r="V18" s="48">
        <v>6000</v>
      </c>
      <c r="W18" s="48"/>
      <c r="X18" s="48"/>
      <c r="Y18" s="48"/>
      <c r="Z18" s="48"/>
      <c r="AA18" s="48">
        <v>290</v>
      </c>
      <c r="AB18" s="48"/>
      <c r="AC18" s="48"/>
      <c r="AD18" s="48"/>
      <c r="AE18" s="48"/>
      <c r="AF18" s="48"/>
      <c r="AG18" s="48"/>
      <c r="AH18" s="48"/>
      <c r="AI18" s="49">
        <v>2000</v>
      </c>
    </row>
    <row r="19" spans="1:35" x14ac:dyDescent="0.25">
      <c r="A19" s="48">
        <v>16</v>
      </c>
      <c r="B19" s="176" t="s">
        <v>425</v>
      </c>
      <c r="C19" s="176" t="s">
        <v>424</v>
      </c>
      <c r="D19" s="150">
        <f t="shared" si="1"/>
        <v>48000</v>
      </c>
      <c r="E19" s="48"/>
      <c r="F19" s="48"/>
      <c r="G19" s="35"/>
      <c r="H19" s="35"/>
      <c r="I19" s="35"/>
      <c r="J19" s="35"/>
      <c r="K19" s="35"/>
      <c r="L19" s="35"/>
      <c r="M19" s="48"/>
      <c r="N19" s="48"/>
      <c r="O19" s="48"/>
      <c r="P19" s="48"/>
      <c r="Q19" s="48"/>
      <c r="R19" s="40"/>
      <c r="S19" s="40"/>
      <c r="T19" s="40"/>
      <c r="U19" s="40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>
        <v>41000</v>
      </c>
      <c r="AI19" s="49">
        <v>7000</v>
      </c>
    </row>
    <row r="20" spans="1:35" x14ac:dyDescent="0.25">
      <c r="A20" s="48">
        <v>17</v>
      </c>
      <c r="B20" s="166" t="s">
        <v>167</v>
      </c>
      <c r="C20" s="166" t="s">
        <v>166</v>
      </c>
      <c r="D20" s="150">
        <f t="shared" si="1"/>
        <v>465023</v>
      </c>
      <c r="E20" s="48">
        <v>3883</v>
      </c>
      <c r="F20" s="48"/>
      <c r="G20" s="35"/>
      <c r="H20" s="35"/>
      <c r="I20" s="35"/>
      <c r="J20" s="35"/>
      <c r="K20" s="35"/>
      <c r="L20" s="35"/>
      <c r="M20" s="48"/>
      <c r="N20" s="48">
        <v>21700</v>
      </c>
      <c r="O20" s="48">
        <v>27500</v>
      </c>
      <c r="P20" s="48">
        <v>5940</v>
      </c>
      <c r="Q20" s="48"/>
      <c r="R20" s="40"/>
      <c r="S20" s="40"/>
      <c r="T20" s="40"/>
      <c r="U20" s="40"/>
      <c r="V20" s="48">
        <v>10000</v>
      </c>
      <c r="W20" s="48"/>
      <c r="X20" s="48">
        <v>10000</v>
      </c>
      <c r="Y20" s="48">
        <v>39200</v>
      </c>
      <c r="Z20" s="48">
        <v>36000</v>
      </c>
      <c r="AA20" s="48">
        <v>34800</v>
      </c>
      <c r="AB20" s="48">
        <v>25000</v>
      </c>
      <c r="AC20" s="48">
        <v>20200</v>
      </c>
      <c r="AD20" s="48">
        <v>48420</v>
      </c>
      <c r="AE20" s="48">
        <v>58120</v>
      </c>
      <c r="AF20" s="48">
        <v>60920</v>
      </c>
      <c r="AG20" s="48">
        <v>51100</v>
      </c>
      <c r="AH20" s="48">
        <v>11240</v>
      </c>
      <c r="AI20" s="49">
        <v>1000</v>
      </c>
    </row>
    <row r="21" spans="1:35" x14ac:dyDescent="0.25">
      <c r="A21" s="48">
        <v>18</v>
      </c>
      <c r="B21" s="166" t="s">
        <v>553</v>
      </c>
      <c r="C21" s="166" t="s">
        <v>552</v>
      </c>
      <c r="D21" s="150">
        <f t="shared" si="1"/>
        <v>13500</v>
      </c>
      <c r="E21" s="48"/>
      <c r="F21" s="48"/>
      <c r="G21" s="35"/>
      <c r="H21" s="35"/>
      <c r="I21" s="35"/>
      <c r="J21" s="35"/>
      <c r="K21" s="35"/>
      <c r="L21" s="35">
        <v>8000</v>
      </c>
      <c r="M21" s="48"/>
      <c r="N21" s="48"/>
      <c r="O21" s="48"/>
      <c r="P21" s="48">
        <v>2200</v>
      </c>
      <c r="Q21" s="48">
        <v>1780</v>
      </c>
      <c r="R21" s="40"/>
      <c r="S21" s="40"/>
      <c r="T21" s="40"/>
      <c r="U21" s="40"/>
      <c r="V21" s="48"/>
      <c r="W21" s="48">
        <v>1520</v>
      </c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9"/>
    </row>
    <row r="22" spans="1:35" x14ac:dyDescent="0.25">
      <c r="A22" s="141" t="s">
        <v>140</v>
      </c>
      <c r="B22" s="142" t="s">
        <v>119</v>
      </c>
      <c r="C22" s="141" t="s">
        <v>141</v>
      </c>
      <c r="D22" s="143">
        <f t="shared" ref="D22:AI22" si="2">SUM(D23:D53)</f>
        <v>720506</v>
      </c>
      <c r="E22" s="143">
        <f t="shared" si="2"/>
        <v>5020</v>
      </c>
      <c r="F22" s="143">
        <f t="shared" si="2"/>
        <v>0</v>
      </c>
      <c r="G22" s="143">
        <f t="shared" si="2"/>
        <v>18420</v>
      </c>
      <c r="H22" s="143">
        <f t="shared" si="2"/>
        <v>1180</v>
      </c>
      <c r="I22" s="143">
        <f t="shared" si="2"/>
        <v>300</v>
      </c>
      <c r="J22" s="143">
        <f t="shared" si="2"/>
        <v>6860</v>
      </c>
      <c r="K22" s="143">
        <f t="shared" si="2"/>
        <v>27300</v>
      </c>
      <c r="L22" s="143">
        <f t="shared" si="2"/>
        <v>14972</v>
      </c>
      <c r="M22" s="143">
        <f t="shared" si="2"/>
        <v>19820</v>
      </c>
      <c r="N22" s="143">
        <f t="shared" si="2"/>
        <v>25000</v>
      </c>
      <c r="O22" s="143">
        <f t="shared" si="2"/>
        <v>34820</v>
      </c>
      <c r="P22" s="143">
        <f t="shared" si="2"/>
        <v>8680</v>
      </c>
      <c r="Q22" s="143">
        <f t="shared" si="2"/>
        <v>0</v>
      </c>
      <c r="R22" s="143">
        <f t="shared" si="2"/>
        <v>0</v>
      </c>
      <c r="S22" s="143">
        <f t="shared" si="2"/>
        <v>0</v>
      </c>
      <c r="T22" s="143">
        <f t="shared" si="2"/>
        <v>0</v>
      </c>
      <c r="U22" s="143">
        <f t="shared" si="2"/>
        <v>11700</v>
      </c>
      <c r="V22" s="143">
        <f t="shared" si="2"/>
        <v>20356</v>
      </c>
      <c r="W22" s="143">
        <f t="shared" si="2"/>
        <v>12320</v>
      </c>
      <c r="X22" s="143">
        <f t="shared" si="2"/>
        <v>20680</v>
      </c>
      <c r="Y22" s="143">
        <f t="shared" si="2"/>
        <v>41660</v>
      </c>
      <c r="Z22" s="143">
        <f t="shared" si="2"/>
        <v>30820</v>
      </c>
      <c r="AA22" s="143">
        <f t="shared" si="2"/>
        <v>51040</v>
      </c>
      <c r="AB22" s="143">
        <f t="shared" si="2"/>
        <v>20427</v>
      </c>
      <c r="AC22" s="143">
        <f t="shared" si="2"/>
        <v>27433</v>
      </c>
      <c r="AD22" s="143">
        <f t="shared" si="2"/>
        <v>57960</v>
      </c>
      <c r="AE22" s="143">
        <f t="shared" si="2"/>
        <v>50080</v>
      </c>
      <c r="AF22" s="143">
        <f t="shared" si="2"/>
        <v>114700</v>
      </c>
      <c r="AG22" s="143">
        <f t="shared" si="2"/>
        <v>0</v>
      </c>
      <c r="AH22" s="143">
        <f t="shared" si="2"/>
        <v>52980</v>
      </c>
      <c r="AI22" s="143">
        <f t="shared" si="2"/>
        <v>45978</v>
      </c>
    </row>
    <row r="23" spans="1:35" x14ac:dyDescent="0.25">
      <c r="A23" s="48">
        <v>1</v>
      </c>
      <c r="B23" s="166" t="s">
        <v>291</v>
      </c>
      <c r="C23" s="166" t="s">
        <v>290</v>
      </c>
      <c r="D23" s="150">
        <f t="shared" ref="D23:D53" si="3">SUM(E23:AI23)</f>
        <v>12500</v>
      </c>
      <c r="E23" s="48">
        <v>4980</v>
      </c>
      <c r="F23" s="48"/>
      <c r="G23" s="35">
        <v>20</v>
      </c>
      <c r="H23" s="35"/>
      <c r="I23" s="35"/>
      <c r="J23" s="35"/>
      <c r="K23" s="35"/>
      <c r="L23" s="35">
        <v>4500</v>
      </c>
      <c r="M23" s="48"/>
      <c r="N23" s="48"/>
      <c r="O23" s="48"/>
      <c r="P23" s="48"/>
      <c r="Q23" s="48"/>
      <c r="R23" s="40"/>
      <c r="S23" s="40"/>
      <c r="T23" s="40"/>
      <c r="U23" s="40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>
        <v>3000</v>
      </c>
      <c r="AI23" s="49"/>
    </row>
    <row r="24" spans="1:35" x14ac:dyDescent="0.25">
      <c r="A24" s="48">
        <v>2</v>
      </c>
      <c r="B24" s="176" t="s">
        <v>986</v>
      </c>
      <c r="C24" s="176" t="s">
        <v>985</v>
      </c>
      <c r="D24" s="150">
        <f t="shared" si="3"/>
        <v>9980</v>
      </c>
      <c r="E24" s="48"/>
      <c r="F24" s="48"/>
      <c r="G24" s="35"/>
      <c r="H24" s="35">
        <v>500</v>
      </c>
      <c r="I24" s="35"/>
      <c r="J24" s="35"/>
      <c r="K24" s="35">
        <v>4480</v>
      </c>
      <c r="L24" s="35"/>
      <c r="M24" s="48"/>
      <c r="N24" s="48"/>
      <c r="O24" s="48"/>
      <c r="P24" s="48">
        <v>4560</v>
      </c>
      <c r="Q24" s="48"/>
      <c r="R24" s="40"/>
      <c r="S24" s="40"/>
      <c r="T24" s="40"/>
      <c r="U24" s="40"/>
      <c r="V24" s="48"/>
      <c r="W24" s="48"/>
      <c r="X24" s="48"/>
      <c r="Y24" s="48"/>
      <c r="Z24" s="48"/>
      <c r="AA24" s="48"/>
      <c r="AB24" s="48">
        <v>387</v>
      </c>
      <c r="AC24" s="48">
        <v>53</v>
      </c>
      <c r="AD24" s="48"/>
      <c r="AE24" s="48"/>
      <c r="AF24" s="48"/>
      <c r="AG24" s="48"/>
      <c r="AH24" s="48"/>
      <c r="AI24" s="49"/>
    </row>
    <row r="25" spans="1:35" x14ac:dyDescent="0.25">
      <c r="A25" s="48">
        <v>3</v>
      </c>
      <c r="B25" s="166" t="s">
        <v>849</v>
      </c>
      <c r="C25" s="166" t="s">
        <v>848</v>
      </c>
      <c r="D25" s="150">
        <f t="shared" si="3"/>
        <v>0</v>
      </c>
      <c r="E25" s="48"/>
      <c r="F25" s="48"/>
      <c r="G25" s="35"/>
      <c r="H25" s="35"/>
      <c r="I25" s="35"/>
      <c r="J25" s="35"/>
      <c r="K25" s="35"/>
      <c r="L25" s="35"/>
      <c r="M25" s="48"/>
      <c r="N25" s="48"/>
      <c r="O25" s="48"/>
      <c r="P25" s="48"/>
      <c r="Q25" s="48"/>
      <c r="R25" s="40"/>
      <c r="S25" s="40"/>
      <c r="T25" s="40"/>
      <c r="U25" s="40"/>
      <c r="V25" s="48"/>
      <c r="W25" s="48"/>
      <c r="X25" s="48"/>
      <c r="Y25" s="168"/>
      <c r="Z25" s="48"/>
      <c r="AA25" s="48"/>
      <c r="AB25" s="48"/>
      <c r="AC25" s="48"/>
      <c r="AD25" s="48"/>
      <c r="AE25" s="48"/>
      <c r="AF25" s="48"/>
      <c r="AG25" s="48"/>
      <c r="AH25" s="48"/>
      <c r="AI25" s="49"/>
    </row>
    <row r="26" spans="1:35" x14ac:dyDescent="0.25">
      <c r="A26" s="48">
        <v>4</v>
      </c>
      <c r="B26" s="176" t="s">
        <v>1122</v>
      </c>
      <c r="C26" s="176" t="s">
        <v>1121</v>
      </c>
      <c r="D26" s="150">
        <f t="shared" si="3"/>
        <v>500</v>
      </c>
      <c r="E26" s="48"/>
      <c r="F26" s="48"/>
      <c r="G26" s="35"/>
      <c r="H26" s="35"/>
      <c r="I26" s="35"/>
      <c r="J26" s="35"/>
      <c r="K26" s="35"/>
      <c r="L26" s="35"/>
      <c r="M26" s="48"/>
      <c r="N26" s="48"/>
      <c r="O26" s="48"/>
      <c r="P26" s="48"/>
      <c r="Q26" s="48"/>
      <c r="R26" s="40"/>
      <c r="S26" s="40"/>
      <c r="T26" s="40"/>
      <c r="U26" s="40"/>
      <c r="V26" s="48"/>
      <c r="W26" s="48"/>
      <c r="X26" s="48"/>
      <c r="Y26" s="168">
        <v>500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9"/>
    </row>
    <row r="27" spans="1:35" x14ac:dyDescent="0.25">
      <c r="A27" s="48">
        <v>5</v>
      </c>
      <c r="B27" s="166" t="s">
        <v>328</v>
      </c>
      <c r="C27" s="166" t="s">
        <v>327</v>
      </c>
      <c r="D27" s="150">
        <f t="shared" si="3"/>
        <v>7840</v>
      </c>
      <c r="E27" s="48">
        <v>40</v>
      </c>
      <c r="F27" s="48"/>
      <c r="G27" s="35"/>
      <c r="H27" s="35"/>
      <c r="I27" s="35"/>
      <c r="J27" s="35"/>
      <c r="K27" s="35"/>
      <c r="L27" s="35"/>
      <c r="M27" s="48"/>
      <c r="N27" s="48"/>
      <c r="O27" s="48"/>
      <c r="P27" s="48"/>
      <c r="Q27" s="48"/>
      <c r="R27" s="40"/>
      <c r="S27" s="40"/>
      <c r="T27" s="40"/>
      <c r="U27" s="40"/>
      <c r="V27" s="48">
        <v>4800</v>
      </c>
      <c r="W27" s="48"/>
      <c r="X27" s="48"/>
      <c r="Y27" s="168"/>
      <c r="Z27" s="48"/>
      <c r="AA27" s="48"/>
      <c r="AB27" s="48"/>
      <c r="AC27" s="48"/>
      <c r="AD27" s="48"/>
      <c r="AE27" s="48"/>
      <c r="AF27" s="48"/>
      <c r="AG27" s="48"/>
      <c r="AH27" s="48"/>
      <c r="AI27" s="49">
        <v>3000</v>
      </c>
    </row>
    <row r="28" spans="1:35" x14ac:dyDescent="0.25">
      <c r="A28" s="48">
        <v>6</v>
      </c>
      <c r="B28" s="176" t="s">
        <v>1073</v>
      </c>
      <c r="C28" s="176" t="s">
        <v>1071</v>
      </c>
      <c r="D28" s="150">
        <f t="shared" si="3"/>
        <v>500</v>
      </c>
      <c r="E28" s="48"/>
      <c r="F28" s="48"/>
      <c r="G28" s="35"/>
      <c r="H28" s="35"/>
      <c r="I28" s="35"/>
      <c r="J28" s="35"/>
      <c r="K28" s="35"/>
      <c r="L28" s="35"/>
      <c r="M28" s="48"/>
      <c r="N28" s="48"/>
      <c r="O28" s="48"/>
      <c r="P28" s="48"/>
      <c r="Q28" s="48"/>
      <c r="R28" s="40"/>
      <c r="S28" s="40"/>
      <c r="T28" s="40"/>
      <c r="U28" s="40"/>
      <c r="V28" s="48"/>
      <c r="W28" s="48"/>
      <c r="X28" s="48"/>
      <c r="Y28" s="48"/>
      <c r="Z28" s="48"/>
      <c r="AA28" s="48">
        <v>500</v>
      </c>
      <c r="AB28" s="48"/>
      <c r="AC28" s="48"/>
      <c r="AD28" s="48"/>
      <c r="AE28" s="48"/>
      <c r="AF28" s="48"/>
      <c r="AG28" s="48"/>
      <c r="AH28" s="48"/>
      <c r="AI28" s="49"/>
    </row>
    <row r="29" spans="1:35" x14ac:dyDescent="0.25">
      <c r="A29" s="48">
        <v>7</v>
      </c>
      <c r="B29" s="176" t="s">
        <v>1074</v>
      </c>
      <c r="C29" s="176" t="s">
        <v>1072</v>
      </c>
      <c r="D29" s="150">
        <f t="shared" si="3"/>
        <v>500</v>
      </c>
      <c r="E29" s="48"/>
      <c r="F29" s="48"/>
      <c r="G29" s="35"/>
      <c r="H29" s="35"/>
      <c r="I29" s="35"/>
      <c r="J29" s="35"/>
      <c r="K29" s="35"/>
      <c r="L29" s="35"/>
      <c r="M29" s="48"/>
      <c r="N29" s="48"/>
      <c r="O29" s="48"/>
      <c r="P29" s="48"/>
      <c r="Q29" s="48"/>
      <c r="R29" s="40"/>
      <c r="S29" s="40"/>
      <c r="T29" s="40"/>
      <c r="U29" s="40"/>
      <c r="V29" s="48"/>
      <c r="W29" s="48"/>
      <c r="X29" s="48"/>
      <c r="Y29" s="48"/>
      <c r="Z29" s="48"/>
      <c r="AA29" s="48">
        <v>500</v>
      </c>
      <c r="AB29" s="48"/>
      <c r="AC29" s="48"/>
      <c r="AD29" s="48"/>
      <c r="AE29" s="48"/>
      <c r="AF29" s="48"/>
      <c r="AG29" s="48"/>
      <c r="AH29" s="48"/>
      <c r="AI29" s="49"/>
    </row>
    <row r="30" spans="1:35" x14ac:dyDescent="0.25">
      <c r="A30" s="48">
        <v>8</v>
      </c>
      <c r="B30" s="176" t="s">
        <v>1194</v>
      </c>
      <c r="C30" s="176" t="s">
        <v>1193</v>
      </c>
      <c r="D30" s="150">
        <f t="shared" si="3"/>
        <v>500</v>
      </c>
      <c r="E30" s="48"/>
      <c r="F30" s="48"/>
      <c r="G30" s="35"/>
      <c r="H30" s="35"/>
      <c r="I30" s="35"/>
      <c r="J30" s="35"/>
      <c r="K30" s="35"/>
      <c r="L30" s="35"/>
      <c r="M30" s="48"/>
      <c r="N30" s="48"/>
      <c r="O30" s="48"/>
      <c r="P30" s="48"/>
      <c r="Q30" s="48"/>
      <c r="R30" s="40"/>
      <c r="S30" s="40"/>
      <c r="T30" s="40"/>
      <c r="U30" s="40"/>
      <c r="V30" s="48"/>
      <c r="W30" s="48"/>
      <c r="X30" s="48"/>
      <c r="Y30" s="48"/>
      <c r="Z30" s="48"/>
      <c r="AA30" s="48"/>
      <c r="AB30" s="48"/>
      <c r="AC30" s="48"/>
      <c r="AD30" s="48"/>
      <c r="AE30" s="48">
        <v>500</v>
      </c>
      <c r="AF30" s="48"/>
      <c r="AG30" s="48"/>
      <c r="AH30" s="48"/>
      <c r="AI30" s="49"/>
    </row>
    <row r="31" spans="1:35" x14ac:dyDescent="0.25">
      <c r="A31" s="48">
        <v>9</v>
      </c>
      <c r="B31" s="176" t="s">
        <v>895</v>
      </c>
      <c r="C31" s="176" t="s">
        <v>894</v>
      </c>
      <c r="D31" s="150">
        <f t="shared" si="3"/>
        <v>39380</v>
      </c>
      <c r="E31" s="48"/>
      <c r="F31" s="48"/>
      <c r="G31" s="35">
        <v>8700</v>
      </c>
      <c r="H31" s="35">
        <v>680</v>
      </c>
      <c r="I31" s="35"/>
      <c r="J31" s="35"/>
      <c r="K31" s="35"/>
      <c r="L31" s="35"/>
      <c r="M31" s="48"/>
      <c r="N31" s="48"/>
      <c r="O31" s="48"/>
      <c r="P31" s="48"/>
      <c r="Q31" s="48"/>
      <c r="R31" s="40"/>
      <c r="S31" s="40"/>
      <c r="T31" s="40"/>
      <c r="U31" s="40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>
        <v>30000</v>
      </c>
      <c r="AG31" s="48"/>
      <c r="AH31" s="48"/>
      <c r="AI31" s="49"/>
    </row>
    <row r="32" spans="1:35" x14ac:dyDescent="0.25">
      <c r="A32" s="48">
        <v>10</v>
      </c>
      <c r="B32" s="176" t="s">
        <v>1064</v>
      </c>
      <c r="C32" s="176" t="s">
        <v>1063</v>
      </c>
      <c r="D32" s="150">
        <f t="shared" si="3"/>
        <v>42500</v>
      </c>
      <c r="E32" s="48"/>
      <c r="F32" s="48"/>
      <c r="G32" s="35"/>
      <c r="H32" s="35"/>
      <c r="I32" s="35"/>
      <c r="J32" s="35"/>
      <c r="K32" s="35"/>
      <c r="L32" s="35"/>
      <c r="M32" s="48"/>
      <c r="N32" s="48"/>
      <c r="O32" s="48"/>
      <c r="P32" s="48"/>
      <c r="Q32" s="48"/>
      <c r="R32" s="40"/>
      <c r="S32" s="40"/>
      <c r="T32" s="40"/>
      <c r="U32" s="40"/>
      <c r="V32" s="48">
        <v>2500</v>
      </c>
      <c r="W32" s="48"/>
      <c r="X32" s="48"/>
      <c r="Y32" s="48"/>
      <c r="Z32" s="48"/>
      <c r="AA32" s="48"/>
      <c r="AB32" s="48"/>
      <c r="AC32" s="48">
        <v>14920</v>
      </c>
      <c r="AD32" s="48"/>
      <c r="AE32" s="48"/>
      <c r="AF32" s="48">
        <v>24700</v>
      </c>
      <c r="AG32" s="48"/>
      <c r="AH32" s="48">
        <v>380</v>
      </c>
      <c r="AI32" s="49"/>
    </row>
    <row r="33" spans="1:35" x14ac:dyDescent="0.25">
      <c r="A33" s="48">
        <v>11</v>
      </c>
      <c r="B33" s="166" t="s">
        <v>582</v>
      </c>
      <c r="C33" s="166" t="s">
        <v>580</v>
      </c>
      <c r="D33" s="150">
        <f t="shared" si="3"/>
        <v>20900</v>
      </c>
      <c r="E33" s="48"/>
      <c r="F33" s="48"/>
      <c r="G33" s="35"/>
      <c r="H33" s="35"/>
      <c r="I33" s="35"/>
      <c r="J33" s="35"/>
      <c r="K33" s="35"/>
      <c r="L33" s="35"/>
      <c r="M33" s="48"/>
      <c r="N33" s="48"/>
      <c r="O33" s="48"/>
      <c r="P33" s="48"/>
      <c r="Q33" s="48"/>
      <c r="R33" s="40"/>
      <c r="S33" s="40"/>
      <c r="T33" s="40"/>
      <c r="U33" s="40"/>
      <c r="V33" s="48">
        <v>5100</v>
      </c>
      <c r="W33" s="48">
        <v>5800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9">
        <v>10000</v>
      </c>
    </row>
    <row r="34" spans="1:35" x14ac:dyDescent="0.25">
      <c r="A34" s="48">
        <v>12</v>
      </c>
      <c r="B34" s="166" t="s">
        <v>320</v>
      </c>
      <c r="C34" s="166" t="s">
        <v>581</v>
      </c>
      <c r="D34" s="150">
        <f t="shared" si="3"/>
        <v>373500</v>
      </c>
      <c r="E34" s="48"/>
      <c r="F34" s="48"/>
      <c r="G34" s="35"/>
      <c r="H34" s="35"/>
      <c r="I34" s="35"/>
      <c r="J34" s="35"/>
      <c r="K34" s="35"/>
      <c r="L34" s="35"/>
      <c r="M34" s="48"/>
      <c r="N34" s="48">
        <v>25000</v>
      </c>
      <c r="O34" s="48">
        <v>34720</v>
      </c>
      <c r="P34" s="48">
        <v>260</v>
      </c>
      <c r="Q34" s="48"/>
      <c r="R34" s="40"/>
      <c r="S34" s="40"/>
      <c r="T34" s="40"/>
      <c r="U34" s="40"/>
      <c r="V34" s="48"/>
      <c r="W34" s="48">
        <v>20</v>
      </c>
      <c r="X34" s="48">
        <v>14840</v>
      </c>
      <c r="Y34" s="48">
        <v>40160</v>
      </c>
      <c r="Z34" s="48">
        <v>24920</v>
      </c>
      <c r="AA34" s="48">
        <v>45080</v>
      </c>
      <c r="AB34" s="48">
        <v>20000</v>
      </c>
      <c r="AC34" s="48"/>
      <c r="AD34" s="48">
        <v>55420</v>
      </c>
      <c r="AE34" s="48">
        <v>49580</v>
      </c>
      <c r="AF34" s="48">
        <f>41200+190*20</f>
        <v>45000</v>
      </c>
      <c r="AG34" s="48"/>
      <c r="AH34" s="48"/>
      <c r="AI34" s="49">
        <v>18500</v>
      </c>
    </row>
    <row r="35" spans="1:35" x14ac:dyDescent="0.25">
      <c r="A35" s="48">
        <v>13</v>
      </c>
      <c r="B35" s="166" t="s">
        <v>543</v>
      </c>
      <c r="C35" s="166" t="s">
        <v>542</v>
      </c>
      <c r="D35" s="150">
        <f t="shared" si="3"/>
        <v>2500</v>
      </c>
      <c r="E35" s="48"/>
      <c r="F35" s="48"/>
      <c r="G35" s="35"/>
      <c r="H35" s="35"/>
      <c r="I35" s="35"/>
      <c r="J35" s="35"/>
      <c r="K35" s="35"/>
      <c r="L35" s="35"/>
      <c r="M35" s="48"/>
      <c r="N35" s="48"/>
      <c r="O35" s="48"/>
      <c r="P35" s="48"/>
      <c r="Q35" s="48"/>
      <c r="R35" s="40"/>
      <c r="S35" s="40"/>
      <c r="T35" s="40"/>
      <c r="U35" s="40"/>
      <c r="V35" s="48"/>
      <c r="W35" s="48">
        <v>2500</v>
      </c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9"/>
    </row>
    <row r="36" spans="1:35" x14ac:dyDescent="0.25">
      <c r="A36" s="48">
        <v>14</v>
      </c>
      <c r="B36" s="166" t="s">
        <v>226</v>
      </c>
      <c r="C36" s="166" t="s">
        <v>225</v>
      </c>
      <c r="D36" s="150">
        <f t="shared" si="3"/>
        <v>1600</v>
      </c>
      <c r="E36" s="48"/>
      <c r="F36" s="48"/>
      <c r="G36" s="35"/>
      <c r="H36" s="35"/>
      <c r="I36" s="35"/>
      <c r="J36" s="35"/>
      <c r="K36" s="35"/>
      <c r="L36" s="35"/>
      <c r="M36" s="48"/>
      <c r="N36" s="48"/>
      <c r="O36" s="48"/>
      <c r="P36" s="48"/>
      <c r="Q36" s="48"/>
      <c r="R36" s="40"/>
      <c r="S36" s="40"/>
      <c r="T36" s="40"/>
      <c r="U36" s="40"/>
      <c r="V36" s="48"/>
      <c r="W36" s="48"/>
      <c r="X36" s="48">
        <v>1600</v>
      </c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</row>
    <row r="37" spans="1:35" x14ac:dyDescent="0.25">
      <c r="A37" s="48">
        <v>15</v>
      </c>
      <c r="B37" s="176" t="s">
        <v>1030</v>
      </c>
      <c r="C37" s="176" t="s">
        <v>1029</v>
      </c>
      <c r="D37" s="150">
        <f t="shared" si="3"/>
        <v>5900</v>
      </c>
      <c r="E37" s="48"/>
      <c r="F37" s="48"/>
      <c r="G37" s="35"/>
      <c r="H37" s="35"/>
      <c r="I37" s="35"/>
      <c r="J37" s="35"/>
      <c r="K37" s="35"/>
      <c r="L37" s="35"/>
      <c r="M37" s="48"/>
      <c r="N37" s="48"/>
      <c r="O37" s="48"/>
      <c r="P37" s="48"/>
      <c r="Q37" s="48"/>
      <c r="R37" s="40"/>
      <c r="S37" s="40"/>
      <c r="T37" s="40"/>
      <c r="U37" s="40"/>
      <c r="V37" s="48"/>
      <c r="W37" s="48"/>
      <c r="X37" s="48"/>
      <c r="Y37" s="48"/>
      <c r="Z37" s="48">
        <v>5900</v>
      </c>
      <c r="AA37" s="48"/>
      <c r="AB37" s="48"/>
      <c r="AC37" s="48"/>
      <c r="AD37" s="48"/>
      <c r="AE37" s="48"/>
      <c r="AF37" s="48"/>
      <c r="AG37" s="48"/>
      <c r="AH37" s="48"/>
      <c r="AI37" s="49"/>
    </row>
    <row r="38" spans="1:35" x14ac:dyDescent="0.25">
      <c r="A38" s="48">
        <v>16</v>
      </c>
      <c r="B38" s="166" t="s">
        <v>236</v>
      </c>
      <c r="C38" s="166" t="s">
        <v>235</v>
      </c>
      <c r="D38" s="150">
        <f t="shared" si="3"/>
        <v>68000</v>
      </c>
      <c r="E38" s="48"/>
      <c r="F38" s="48"/>
      <c r="G38" s="35">
        <v>9700</v>
      </c>
      <c r="H38" s="35"/>
      <c r="I38" s="35">
        <v>300</v>
      </c>
      <c r="J38" s="35">
        <v>6860</v>
      </c>
      <c r="K38" s="35">
        <v>22820</v>
      </c>
      <c r="L38" s="35"/>
      <c r="M38" s="48">
        <v>19820</v>
      </c>
      <c r="N38" s="48"/>
      <c r="O38" s="48"/>
      <c r="P38" s="48">
        <v>500</v>
      </c>
      <c r="Q38" s="48"/>
      <c r="R38" s="40"/>
      <c r="S38" s="40"/>
      <c r="T38" s="40"/>
      <c r="U38" s="40"/>
      <c r="V38" s="48">
        <v>7816</v>
      </c>
      <c r="W38" s="48"/>
      <c r="X38" s="48">
        <v>184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</row>
    <row r="39" spans="1:35" x14ac:dyDescent="0.25">
      <c r="A39" s="48">
        <v>17</v>
      </c>
      <c r="B39" s="176" t="s">
        <v>1024</v>
      </c>
      <c r="C39" s="176" t="s">
        <v>1023</v>
      </c>
      <c r="D39" s="150">
        <f t="shared" si="3"/>
        <v>100</v>
      </c>
      <c r="E39" s="48"/>
      <c r="F39" s="48"/>
      <c r="G39" s="35"/>
      <c r="H39" s="35"/>
      <c r="I39" s="35"/>
      <c r="J39" s="35"/>
      <c r="K39" s="35"/>
      <c r="L39" s="35"/>
      <c r="M39" s="48"/>
      <c r="N39" s="48"/>
      <c r="O39" s="48">
        <v>100</v>
      </c>
      <c r="P39" s="48"/>
      <c r="Q39" s="48"/>
      <c r="R39" s="40"/>
      <c r="S39" s="40"/>
      <c r="T39" s="40"/>
      <c r="U39" s="40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</row>
    <row r="40" spans="1:35" x14ac:dyDescent="0.25">
      <c r="A40" s="48">
        <v>18</v>
      </c>
      <c r="B40" s="176" t="s">
        <v>1227</v>
      </c>
      <c r="C40" s="176" t="s">
        <v>1226</v>
      </c>
      <c r="D40" s="150">
        <f t="shared" si="3"/>
        <v>0</v>
      </c>
      <c r="E40" s="48"/>
      <c r="F40" s="48"/>
      <c r="G40" s="35"/>
      <c r="H40" s="35"/>
      <c r="I40" s="35"/>
      <c r="J40" s="35"/>
      <c r="K40" s="35"/>
      <c r="L40" s="35"/>
      <c r="M40" s="48"/>
      <c r="N40" s="48"/>
      <c r="O40" s="48"/>
      <c r="P40" s="48"/>
      <c r="Q40" s="48"/>
      <c r="R40" s="40"/>
      <c r="S40" s="40"/>
      <c r="T40" s="40"/>
      <c r="U40" s="40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</row>
    <row r="41" spans="1:35" x14ac:dyDescent="0.25">
      <c r="A41" s="48">
        <v>19</v>
      </c>
      <c r="B41" s="176" t="s">
        <v>1032</v>
      </c>
      <c r="C41" s="176" t="s">
        <v>1031</v>
      </c>
      <c r="D41" s="150">
        <f t="shared" si="3"/>
        <v>500</v>
      </c>
      <c r="E41" s="48"/>
      <c r="F41" s="48"/>
      <c r="G41" s="35"/>
      <c r="H41" s="35"/>
      <c r="I41" s="35"/>
      <c r="J41" s="35"/>
      <c r="K41" s="35"/>
      <c r="L41" s="35"/>
      <c r="M41" s="48"/>
      <c r="N41" s="48"/>
      <c r="O41" s="48"/>
      <c r="P41" s="48"/>
      <c r="Q41" s="48"/>
      <c r="R41" s="40"/>
      <c r="S41" s="40"/>
      <c r="T41" s="40"/>
      <c r="U41" s="40"/>
      <c r="V41" s="48"/>
      <c r="W41" s="48"/>
      <c r="X41" s="48"/>
      <c r="Y41" s="48">
        <v>500</v>
      </c>
      <c r="Z41" s="48"/>
      <c r="AA41" s="48"/>
      <c r="AB41" s="48"/>
      <c r="AC41" s="48"/>
      <c r="AD41" s="48"/>
      <c r="AE41" s="48"/>
      <c r="AF41" s="48"/>
      <c r="AG41" s="48"/>
      <c r="AH41" s="48"/>
      <c r="AI41" s="49"/>
    </row>
    <row r="42" spans="1:35" x14ac:dyDescent="0.25">
      <c r="A42" s="48">
        <v>20</v>
      </c>
      <c r="B42" s="166" t="s">
        <v>280</v>
      </c>
      <c r="C42" s="166" t="s">
        <v>279</v>
      </c>
      <c r="D42" s="150">
        <f t="shared" si="3"/>
        <v>4000</v>
      </c>
      <c r="E42" s="48"/>
      <c r="F42" s="48"/>
      <c r="G42" s="35"/>
      <c r="H42" s="35"/>
      <c r="I42" s="35"/>
      <c r="J42" s="35"/>
      <c r="K42" s="35"/>
      <c r="L42" s="35"/>
      <c r="M42" s="48"/>
      <c r="N42" s="48"/>
      <c r="O42" s="48"/>
      <c r="P42" s="48"/>
      <c r="Q42" s="48"/>
      <c r="R42" s="40"/>
      <c r="S42" s="40"/>
      <c r="T42" s="40"/>
      <c r="U42" s="40"/>
      <c r="V42" s="48"/>
      <c r="W42" s="48">
        <v>4000</v>
      </c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9"/>
    </row>
    <row r="43" spans="1:35" x14ac:dyDescent="0.25">
      <c r="A43" s="48">
        <v>21</v>
      </c>
      <c r="B43" s="166" t="s">
        <v>284</v>
      </c>
      <c r="C43" s="166" t="s">
        <v>283</v>
      </c>
      <c r="D43" s="150">
        <f t="shared" si="3"/>
        <v>0</v>
      </c>
      <c r="E43" s="48"/>
      <c r="F43" s="48"/>
      <c r="G43" s="35"/>
      <c r="H43" s="35"/>
      <c r="I43" s="35"/>
      <c r="J43" s="35"/>
      <c r="K43" s="35"/>
      <c r="L43" s="35"/>
      <c r="M43" s="48"/>
      <c r="N43" s="48"/>
      <c r="O43" s="48"/>
      <c r="P43" s="48"/>
      <c r="Q43" s="48"/>
      <c r="R43" s="40"/>
      <c r="S43" s="40"/>
      <c r="T43" s="40"/>
      <c r="U43" s="40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9"/>
    </row>
    <row r="44" spans="1:35" x14ac:dyDescent="0.25">
      <c r="A44" s="48">
        <v>22</v>
      </c>
      <c r="B44" s="176" t="s">
        <v>1222</v>
      </c>
      <c r="C44" s="176" t="s">
        <v>1221</v>
      </c>
      <c r="D44" s="150">
        <f t="shared" si="3"/>
        <v>25000</v>
      </c>
      <c r="E44" s="48"/>
      <c r="F44" s="48"/>
      <c r="G44" s="35"/>
      <c r="H44" s="35"/>
      <c r="I44" s="35"/>
      <c r="J44" s="35"/>
      <c r="K44" s="35"/>
      <c r="L44" s="35"/>
      <c r="M44" s="48"/>
      <c r="N44" s="48"/>
      <c r="O44" s="48"/>
      <c r="P44" s="48"/>
      <c r="Q44" s="48"/>
      <c r="R44" s="40"/>
      <c r="S44" s="40"/>
      <c r="T44" s="40"/>
      <c r="U44" s="40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>
        <v>10600</v>
      </c>
      <c r="AI44" s="49">
        <v>14400</v>
      </c>
    </row>
    <row r="45" spans="1:35" x14ac:dyDescent="0.25">
      <c r="A45" s="48">
        <v>23</v>
      </c>
      <c r="B45" s="166" t="s">
        <v>320</v>
      </c>
      <c r="C45" s="166" t="s">
        <v>319</v>
      </c>
      <c r="D45" s="150">
        <f t="shared" si="3"/>
        <v>37000</v>
      </c>
      <c r="E45" s="48"/>
      <c r="F45" s="48"/>
      <c r="G45" s="35"/>
      <c r="H45" s="35"/>
      <c r="I45" s="35"/>
      <c r="J45" s="35"/>
      <c r="K45" s="35"/>
      <c r="L45" s="35"/>
      <c r="M45" s="48"/>
      <c r="N45" s="48"/>
      <c r="O45" s="48"/>
      <c r="P45" s="48"/>
      <c r="Q45" s="48"/>
      <c r="R45" s="40"/>
      <c r="S45" s="40"/>
      <c r="T45" s="40"/>
      <c r="U45" s="40">
        <v>7000</v>
      </c>
      <c r="V45" s="48"/>
      <c r="W45" s="48"/>
      <c r="X45" s="48"/>
      <c r="Y45" s="48"/>
      <c r="Z45" s="48"/>
      <c r="AA45" s="48"/>
      <c r="AB45" s="48"/>
      <c r="AC45" s="48">
        <v>12460</v>
      </c>
      <c r="AD45" s="48">
        <v>2540</v>
      </c>
      <c r="AE45" s="48"/>
      <c r="AF45" s="48">
        <v>15000</v>
      </c>
      <c r="AG45" s="48"/>
      <c r="AH45" s="48"/>
      <c r="AI45" s="49"/>
    </row>
    <row r="46" spans="1:35" x14ac:dyDescent="0.25">
      <c r="A46" s="48">
        <v>24</v>
      </c>
      <c r="B46" s="166" t="s">
        <v>289</v>
      </c>
      <c r="C46" s="166" t="s">
        <v>288</v>
      </c>
      <c r="D46" s="150">
        <f t="shared" si="3"/>
        <v>0</v>
      </c>
      <c r="E46" s="48"/>
      <c r="F46" s="48"/>
      <c r="G46" s="35"/>
      <c r="H46" s="35"/>
      <c r="I46" s="35"/>
      <c r="J46" s="35"/>
      <c r="K46" s="35"/>
      <c r="L46" s="35"/>
      <c r="M46" s="48"/>
      <c r="N46" s="48"/>
      <c r="O46" s="48"/>
      <c r="P46" s="48"/>
      <c r="Q46" s="48"/>
      <c r="R46" s="40"/>
      <c r="S46" s="40"/>
      <c r="T46" s="40"/>
      <c r="U46" s="40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9"/>
    </row>
    <row r="47" spans="1:35" x14ac:dyDescent="0.25">
      <c r="A47" s="48">
        <v>25</v>
      </c>
      <c r="B47" s="166" t="s">
        <v>256</v>
      </c>
      <c r="C47" s="166" t="s">
        <v>255</v>
      </c>
      <c r="D47" s="150">
        <f t="shared" si="3"/>
        <v>24000</v>
      </c>
      <c r="E47" s="48"/>
      <c r="F47" s="48"/>
      <c r="G47" s="35"/>
      <c r="H47" s="35"/>
      <c r="I47" s="35"/>
      <c r="J47" s="35"/>
      <c r="K47" s="35"/>
      <c r="L47" s="35"/>
      <c r="M47" s="48"/>
      <c r="N47" s="48"/>
      <c r="O47" s="48"/>
      <c r="P47" s="48"/>
      <c r="Q47" s="48"/>
      <c r="R47" s="40"/>
      <c r="S47" s="40"/>
      <c r="T47" s="40"/>
      <c r="U47" s="40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>
        <v>24000</v>
      </c>
      <c r="AI47" s="49"/>
    </row>
    <row r="48" spans="1:35" x14ac:dyDescent="0.25">
      <c r="A48" s="48">
        <v>26</v>
      </c>
      <c r="B48" s="176" t="s">
        <v>1086</v>
      </c>
      <c r="C48" s="176" t="s">
        <v>1085</v>
      </c>
      <c r="D48" s="150">
        <f t="shared" si="3"/>
        <v>5000</v>
      </c>
      <c r="E48" s="48"/>
      <c r="F48" s="48"/>
      <c r="G48" s="35"/>
      <c r="H48" s="35"/>
      <c r="I48" s="35"/>
      <c r="J48" s="35"/>
      <c r="K48" s="35"/>
      <c r="L48" s="35"/>
      <c r="M48" s="48"/>
      <c r="N48" s="48"/>
      <c r="O48" s="48"/>
      <c r="P48" s="48"/>
      <c r="Q48" s="48"/>
      <c r="R48" s="40"/>
      <c r="S48" s="40"/>
      <c r="T48" s="40"/>
      <c r="U48" s="48"/>
      <c r="V48" s="48"/>
      <c r="W48" s="48"/>
      <c r="X48" s="48"/>
      <c r="Y48" s="48"/>
      <c r="Z48" s="48"/>
      <c r="AA48" s="48">
        <v>4960</v>
      </c>
      <c r="AB48" s="48">
        <v>40</v>
      </c>
      <c r="AC48" s="48"/>
      <c r="AD48" s="48"/>
      <c r="AE48" s="48"/>
      <c r="AF48" s="48"/>
      <c r="AG48" s="48"/>
      <c r="AH48" s="48"/>
      <c r="AI48" s="49"/>
    </row>
    <row r="49" spans="1:35" x14ac:dyDescent="0.25">
      <c r="A49" s="48">
        <v>27</v>
      </c>
      <c r="B49" s="176" t="s">
        <v>1088</v>
      </c>
      <c r="C49" s="176" t="s">
        <v>1087</v>
      </c>
      <c r="D49" s="150">
        <f t="shared" si="3"/>
        <v>4056</v>
      </c>
      <c r="E49" s="48"/>
      <c r="F49" s="48"/>
      <c r="G49" s="35"/>
      <c r="H49" s="35"/>
      <c r="I49" s="35"/>
      <c r="J49" s="35"/>
      <c r="K49" s="35"/>
      <c r="L49" s="35"/>
      <c r="M49" s="48"/>
      <c r="N49" s="48"/>
      <c r="O49" s="48"/>
      <c r="P49" s="48"/>
      <c r="Q49" s="48"/>
      <c r="R49" s="40"/>
      <c r="S49" s="40"/>
      <c r="T49" s="40"/>
      <c r="U49" s="40"/>
      <c r="V49" s="48"/>
      <c r="W49" s="48"/>
      <c r="X49" s="48">
        <v>4056</v>
      </c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9"/>
    </row>
    <row r="50" spans="1:35" x14ac:dyDescent="0.25">
      <c r="A50" s="48">
        <v>28</v>
      </c>
      <c r="B50" s="166" t="s">
        <v>310</v>
      </c>
      <c r="C50" s="166" t="s">
        <v>309</v>
      </c>
      <c r="D50" s="150">
        <f t="shared" si="3"/>
        <v>550</v>
      </c>
      <c r="E50" s="48"/>
      <c r="F50" s="48"/>
      <c r="G50" s="35"/>
      <c r="H50" s="35"/>
      <c r="I50" s="35"/>
      <c r="J50" s="35"/>
      <c r="K50" s="35"/>
      <c r="L50" s="35">
        <v>472</v>
      </c>
      <c r="M50" s="48"/>
      <c r="N50" s="48"/>
      <c r="O50" s="48"/>
      <c r="P50" s="48"/>
      <c r="Q50" s="48"/>
      <c r="R50" s="40"/>
      <c r="S50" s="40"/>
      <c r="T50" s="40"/>
      <c r="U50" s="40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9">
        <v>78</v>
      </c>
    </row>
    <row r="51" spans="1:35" x14ac:dyDescent="0.25">
      <c r="A51" s="48">
        <v>29</v>
      </c>
      <c r="B51" s="166" t="s">
        <v>258</v>
      </c>
      <c r="C51" s="166" t="s">
        <v>257</v>
      </c>
      <c r="D51" s="150">
        <f t="shared" si="3"/>
        <v>13500</v>
      </c>
      <c r="E51" s="48"/>
      <c r="F51" s="48"/>
      <c r="G51" s="35"/>
      <c r="H51" s="35"/>
      <c r="I51" s="35"/>
      <c r="J51" s="35"/>
      <c r="K51" s="35"/>
      <c r="L51" s="35">
        <v>10000</v>
      </c>
      <c r="M51" s="48"/>
      <c r="N51" s="48"/>
      <c r="O51" s="48"/>
      <c r="P51" s="48">
        <v>3360</v>
      </c>
      <c r="Q51" s="48"/>
      <c r="R51" s="40"/>
      <c r="S51" s="40"/>
      <c r="T51" s="40"/>
      <c r="U51" s="40"/>
      <c r="V51" s="48">
        <v>140</v>
      </c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9"/>
    </row>
    <row r="52" spans="1:35" x14ac:dyDescent="0.25">
      <c r="A52" s="48">
        <v>30</v>
      </c>
      <c r="B52" s="166" t="s">
        <v>287</v>
      </c>
      <c r="C52" s="166" t="s">
        <v>296</v>
      </c>
      <c r="D52" s="150">
        <f t="shared" si="3"/>
        <v>19700</v>
      </c>
      <c r="E52" s="48"/>
      <c r="F52" s="48"/>
      <c r="G52" s="35"/>
      <c r="H52" s="35"/>
      <c r="I52" s="35"/>
      <c r="J52" s="35"/>
      <c r="K52" s="35"/>
      <c r="L52" s="35"/>
      <c r="M52" s="48"/>
      <c r="N52" s="48"/>
      <c r="O52" s="48"/>
      <c r="P52" s="48"/>
      <c r="Q52" s="48"/>
      <c r="R52" s="40"/>
      <c r="S52" s="40"/>
      <c r="T52" s="40"/>
      <c r="U52" s="40">
        <v>4700</v>
      </c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>
        <v>15000</v>
      </c>
      <c r="AI52" s="49"/>
    </row>
    <row r="53" spans="1:35" x14ac:dyDescent="0.25">
      <c r="A53" s="48">
        <v>31</v>
      </c>
      <c r="B53" s="176" t="s">
        <v>1124</v>
      </c>
      <c r="C53" s="176" t="s">
        <v>1123</v>
      </c>
      <c r="D53" s="150">
        <f t="shared" si="3"/>
        <v>500</v>
      </c>
      <c r="E53" s="48"/>
      <c r="F53" s="48"/>
      <c r="G53" s="35"/>
      <c r="H53" s="35"/>
      <c r="I53" s="35"/>
      <c r="J53" s="35"/>
      <c r="K53" s="35"/>
      <c r="L53" s="35"/>
      <c r="M53" s="48"/>
      <c r="N53" s="48"/>
      <c r="O53" s="48"/>
      <c r="P53" s="48"/>
      <c r="Q53" s="48"/>
      <c r="R53" s="40"/>
      <c r="S53" s="40"/>
      <c r="T53" s="40"/>
      <c r="U53" s="40"/>
      <c r="V53" s="48"/>
      <c r="W53" s="48"/>
      <c r="X53" s="48"/>
      <c r="Y53" s="48">
        <v>500</v>
      </c>
      <c r="Z53" s="48"/>
      <c r="AA53" s="48"/>
      <c r="AB53" s="48"/>
      <c r="AC53" s="48"/>
      <c r="AD53" s="48"/>
      <c r="AE53" s="48"/>
      <c r="AF53" s="48"/>
      <c r="AG53" s="48"/>
      <c r="AH53" s="48"/>
      <c r="AI53" s="49"/>
    </row>
    <row r="54" spans="1:35" x14ac:dyDescent="0.25">
      <c r="A54" s="141" t="s">
        <v>140</v>
      </c>
      <c r="B54" s="144" t="s">
        <v>122</v>
      </c>
      <c r="C54" s="141" t="s">
        <v>141</v>
      </c>
      <c r="D54" s="145">
        <f t="shared" ref="D54:AI54" si="4">SUM(D55:D100)</f>
        <v>1940692</v>
      </c>
      <c r="E54" s="145">
        <f t="shared" si="4"/>
        <v>0</v>
      </c>
      <c r="F54" s="145">
        <f t="shared" si="4"/>
        <v>0</v>
      </c>
      <c r="G54" s="145">
        <f t="shared" si="4"/>
        <v>0</v>
      </c>
      <c r="H54" s="145">
        <f t="shared" si="4"/>
        <v>3029</v>
      </c>
      <c r="I54" s="145">
        <f t="shared" si="4"/>
        <v>375</v>
      </c>
      <c r="J54" s="145">
        <f t="shared" si="4"/>
        <v>1100</v>
      </c>
      <c r="K54" s="145">
        <f t="shared" si="4"/>
        <v>20480</v>
      </c>
      <c r="L54" s="145">
        <f t="shared" si="4"/>
        <v>107390</v>
      </c>
      <c r="M54" s="145">
        <f t="shared" si="4"/>
        <v>50378</v>
      </c>
      <c r="N54" s="145">
        <f t="shared" si="4"/>
        <v>94420</v>
      </c>
      <c r="O54" s="145">
        <f t="shared" si="4"/>
        <v>89824</v>
      </c>
      <c r="P54" s="145">
        <f t="shared" si="4"/>
        <v>96736</v>
      </c>
      <c r="Q54" s="145">
        <f t="shared" si="4"/>
        <v>47880</v>
      </c>
      <c r="R54" s="145">
        <f t="shared" si="4"/>
        <v>0</v>
      </c>
      <c r="S54" s="145">
        <f t="shared" si="4"/>
        <v>0</v>
      </c>
      <c r="T54" s="145">
        <f t="shared" si="4"/>
        <v>0</v>
      </c>
      <c r="U54" s="145">
        <f t="shared" si="4"/>
        <v>75620</v>
      </c>
      <c r="V54" s="145">
        <f t="shared" si="4"/>
        <v>78595</v>
      </c>
      <c r="W54" s="145">
        <f t="shared" si="4"/>
        <v>70280</v>
      </c>
      <c r="X54" s="145">
        <f t="shared" si="4"/>
        <v>73210</v>
      </c>
      <c r="Y54" s="145">
        <f t="shared" si="4"/>
        <v>87755</v>
      </c>
      <c r="Z54" s="145">
        <f t="shared" si="4"/>
        <v>97550</v>
      </c>
      <c r="AA54" s="145">
        <f t="shared" si="4"/>
        <v>75604</v>
      </c>
      <c r="AB54" s="145">
        <f t="shared" si="4"/>
        <v>79873</v>
      </c>
      <c r="AC54" s="145">
        <f t="shared" si="4"/>
        <v>104394</v>
      </c>
      <c r="AD54" s="145">
        <f t="shared" si="4"/>
        <v>85968</v>
      </c>
      <c r="AE54" s="145">
        <f t="shared" si="4"/>
        <v>113295</v>
      </c>
      <c r="AF54" s="145">
        <f t="shared" si="4"/>
        <v>80696</v>
      </c>
      <c r="AG54" s="145">
        <f t="shared" si="4"/>
        <v>85584</v>
      </c>
      <c r="AH54" s="145">
        <f t="shared" si="4"/>
        <v>119245</v>
      </c>
      <c r="AI54" s="145">
        <f t="shared" si="4"/>
        <v>201411</v>
      </c>
    </row>
    <row r="55" spans="1:35" x14ac:dyDescent="0.25">
      <c r="A55" s="48">
        <v>1</v>
      </c>
      <c r="B55" s="176" t="s">
        <v>1059</v>
      </c>
      <c r="C55" s="176" t="s">
        <v>1057</v>
      </c>
      <c r="D55" s="150">
        <f t="shared" ref="D55:D100" si="5">SUM(E55:AI55)</f>
        <v>34000</v>
      </c>
      <c r="E55" s="48"/>
      <c r="F55" s="48"/>
      <c r="G55" s="35"/>
      <c r="H55" s="35"/>
      <c r="I55" s="35"/>
      <c r="J55" s="35"/>
      <c r="K55" s="35"/>
      <c r="L55" s="35"/>
      <c r="M55" s="48"/>
      <c r="N55" s="48"/>
      <c r="O55" s="48"/>
      <c r="P55" s="48"/>
      <c r="Q55" s="48"/>
      <c r="R55" s="40"/>
      <c r="S55" s="40"/>
      <c r="T55" s="40"/>
      <c r="U55" s="40">
        <v>1500</v>
      </c>
      <c r="V55" s="48">
        <v>3950</v>
      </c>
      <c r="W55" s="48">
        <v>4500</v>
      </c>
      <c r="X55" s="48">
        <v>10050</v>
      </c>
      <c r="Y55" s="48"/>
      <c r="Z55" s="48"/>
      <c r="AA55" s="48"/>
      <c r="AB55" s="48"/>
      <c r="AC55" s="48"/>
      <c r="AD55" s="48">
        <v>4000</v>
      </c>
      <c r="AE55" s="48"/>
      <c r="AF55" s="48">
        <v>9975</v>
      </c>
      <c r="AG55" s="48"/>
      <c r="AH55" s="48">
        <v>25</v>
      </c>
      <c r="AI55" s="49"/>
    </row>
    <row r="56" spans="1:35" x14ac:dyDescent="0.25">
      <c r="A56" s="48">
        <v>2</v>
      </c>
      <c r="B56" s="176" t="s">
        <v>1060</v>
      </c>
      <c r="C56" s="176" t="s">
        <v>1058</v>
      </c>
      <c r="D56" s="150">
        <f t="shared" si="5"/>
        <v>5000</v>
      </c>
      <c r="E56" s="48"/>
      <c r="F56" s="48"/>
      <c r="G56" s="35"/>
      <c r="H56" s="35"/>
      <c r="I56" s="35"/>
      <c r="J56" s="35"/>
      <c r="K56" s="35"/>
      <c r="L56" s="35"/>
      <c r="M56" s="48"/>
      <c r="N56" s="48"/>
      <c r="O56" s="48"/>
      <c r="P56" s="48"/>
      <c r="Q56" s="48"/>
      <c r="R56" s="40"/>
      <c r="S56" s="40"/>
      <c r="T56" s="40"/>
      <c r="U56" s="40"/>
      <c r="V56" s="48">
        <v>2000</v>
      </c>
      <c r="W56" s="48"/>
      <c r="X56" s="48"/>
      <c r="Y56" s="48"/>
      <c r="Z56" s="48"/>
      <c r="AA56" s="48">
        <v>3000</v>
      </c>
      <c r="AB56" s="48"/>
      <c r="AC56" s="48"/>
      <c r="AD56" s="48"/>
      <c r="AE56" s="48"/>
      <c r="AF56" s="48"/>
      <c r="AG56" s="48"/>
      <c r="AH56" s="48"/>
      <c r="AI56" s="49"/>
    </row>
    <row r="57" spans="1:35" x14ac:dyDescent="0.25">
      <c r="A57" s="48">
        <v>3</v>
      </c>
      <c r="B57" s="176" t="s">
        <v>857</v>
      </c>
      <c r="C57" s="176" t="s">
        <v>856</v>
      </c>
      <c r="D57" s="150">
        <f t="shared" si="5"/>
        <v>0</v>
      </c>
      <c r="E57" s="48"/>
      <c r="F57" s="48"/>
      <c r="G57" s="35"/>
      <c r="H57" s="35"/>
      <c r="I57" s="35"/>
      <c r="J57" s="35"/>
      <c r="K57" s="156"/>
      <c r="L57" s="35"/>
      <c r="M57" s="48"/>
      <c r="N57" s="48"/>
      <c r="O57" s="48"/>
      <c r="P57" s="48"/>
      <c r="Q57" s="48"/>
      <c r="R57" s="40"/>
      <c r="S57" s="40"/>
      <c r="T57" s="40"/>
      <c r="U57" s="40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9"/>
    </row>
    <row r="58" spans="1:35" x14ac:dyDescent="0.25">
      <c r="A58" s="48">
        <v>4</v>
      </c>
      <c r="B58" s="166" t="s">
        <v>179</v>
      </c>
      <c r="C58" s="166" t="s">
        <v>178</v>
      </c>
      <c r="D58" s="150">
        <f t="shared" si="5"/>
        <v>215000</v>
      </c>
      <c r="E58" s="48"/>
      <c r="F58" s="48"/>
      <c r="G58" s="35"/>
      <c r="H58" s="35"/>
      <c r="I58" s="35"/>
      <c r="J58" s="35"/>
      <c r="K58" s="35"/>
      <c r="L58" s="35"/>
      <c r="M58" s="48"/>
      <c r="N58" s="48">
        <v>30000</v>
      </c>
      <c r="O58" s="48"/>
      <c r="P58" s="48">
        <v>22680</v>
      </c>
      <c r="Q58" s="48"/>
      <c r="R58" s="40"/>
      <c r="S58" s="40"/>
      <c r="T58" s="40"/>
      <c r="U58" s="40">
        <v>7560</v>
      </c>
      <c r="V58" s="48">
        <v>5040</v>
      </c>
      <c r="W58" s="48">
        <v>11340</v>
      </c>
      <c r="X58" s="48">
        <v>2520</v>
      </c>
      <c r="Y58" s="48"/>
      <c r="Z58" s="48">
        <v>34120</v>
      </c>
      <c r="AA58" s="48">
        <v>3344</v>
      </c>
      <c r="AB58" s="48">
        <v>3396</v>
      </c>
      <c r="AC58" s="48">
        <v>60744</v>
      </c>
      <c r="AD58" s="48">
        <v>7560</v>
      </c>
      <c r="AE58" s="48"/>
      <c r="AF58" s="48">
        <v>21340</v>
      </c>
      <c r="AG58" s="48"/>
      <c r="AH58" s="48">
        <v>5356</v>
      </c>
      <c r="AI58" s="49"/>
    </row>
    <row r="59" spans="1:35" x14ac:dyDescent="0.25">
      <c r="A59" s="48">
        <v>5</v>
      </c>
      <c r="B59" s="156" t="s">
        <v>774</v>
      </c>
      <c r="C59" s="156" t="s">
        <v>773</v>
      </c>
      <c r="D59" s="150">
        <f t="shared" si="5"/>
        <v>6500</v>
      </c>
      <c r="E59" s="48"/>
      <c r="F59" s="48"/>
      <c r="G59" s="35"/>
      <c r="H59" s="35"/>
      <c r="I59" s="35"/>
      <c r="J59" s="35"/>
      <c r="K59" s="35"/>
      <c r="L59" s="35"/>
      <c r="M59" s="48"/>
      <c r="N59" s="48"/>
      <c r="O59" s="48"/>
      <c r="P59" s="48">
        <v>1500</v>
      </c>
      <c r="Q59" s="48"/>
      <c r="R59" s="40"/>
      <c r="S59" s="40"/>
      <c r="T59" s="40"/>
      <c r="U59" s="40"/>
      <c r="V59" s="48"/>
      <c r="W59" s="48">
        <v>4875</v>
      </c>
      <c r="X59" s="48">
        <v>125</v>
      </c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9"/>
    </row>
    <row r="60" spans="1:35" x14ac:dyDescent="0.25">
      <c r="A60" s="48">
        <v>6</v>
      </c>
      <c r="B60" s="176" t="s">
        <v>879</v>
      </c>
      <c r="C60" s="176" t="s">
        <v>878</v>
      </c>
      <c r="D60" s="150">
        <f t="shared" si="5"/>
        <v>13000</v>
      </c>
      <c r="E60" s="48"/>
      <c r="F60" s="48"/>
      <c r="G60" s="35"/>
      <c r="H60" s="35"/>
      <c r="I60" s="35"/>
      <c r="J60" s="35"/>
      <c r="K60" s="35"/>
      <c r="L60" s="35"/>
      <c r="M60" s="48"/>
      <c r="N60" s="48"/>
      <c r="O60" s="48">
        <v>5040</v>
      </c>
      <c r="P60" s="48">
        <v>6300</v>
      </c>
      <c r="Q60" s="48">
        <v>1260</v>
      </c>
      <c r="R60" s="40"/>
      <c r="S60" s="40"/>
      <c r="T60" s="40"/>
      <c r="U60" s="40">
        <v>400</v>
      </c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9"/>
    </row>
    <row r="61" spans="1:35" x14ac:dyDescent="0.25">
      <c r="A61" s="48">
        <v>7</v>
      </c>
      <c r="B61" s="166" t="s">
        <v>471</v>
      </c>
      <c r="C61" s="166" t="s">
        <v>470</v>
      </c>
      <c r="D61" s="150">
        <f t="shared" si="5"/>
        <v>30</v>
      </c>
      <c r="E61" s="48"/>
      <c r="F61" s="48"/>
      <c r="G61" s="35"/>
      <c r="H61" s="35"/>
      <c r="I61" s="35"/>
      <c r="J61" s="35"/>
      <c r="K61" s="35">
        <v>30</v>
      </c>
      <c r="L61" s="35"/>
      <c r="M61" s="48"/>
      <c r="N61" s="48"/>
      <c r="O61" s="48"/>
      <c r="P61" s="48"/>
      <c r="Q61" s="48"/>
      <c r="R61" s="40"/>
      <c r="S61" s="40"/>
      <c r="T61" s="40"/>
      <c r="U61" s="40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9"/>
    </row>
    <row r="62" spans="1:35" x14ac:dyDescent="0.25">
      <c r="A62" s="48">
        <v>8</v>
      </c>
      <c r="B62" s="176" t="s">
        <v>1096</v>
      </c>
      <c r="C62" s="176" t="s">
        <v>1095</v>
      </c>
      <c r="D62" s="150">
        <f t="shared" si="5"/>
        <v>4000</v>
      </c>
      <c r="E62" s="48"/>
      <c r="F62" s="48"/>
      <c r="G62" s="35"/>
      <c r="H62" s="35"/>
      <c r="I62" s="35"/>
      <c r="J62" s="35"/>
      <c r="K62" s="35"/>
      <c r="L62" s="35"/>
      <c r="M62" s="48"/>
      <c r="N62" s="48"/>
      <c r="O62" s="48"/>
      <c r="P62" s="48"/>
      <c r="Q62" s="48"/>
      <c r="R62" s="40"/>
      <c r="S62" s="40"/>
      <c r="T62" s="40"/>
      <c r="U62" s="40"/>
      <c r="V62" s="48"/>
      <c r="W62" s="48"/>
      <c r="X62" s="48"/>
      <c r="Y62" s="48"/>
      <c r="Z62" s="48">
        <v>4000</v>
      </c>
      <c r="AA62" s="48"/>
      <c r="AB62" s="48"/>
      <c r="AC62" s="48"/>
      <c r="AD62" s="48"/>
      <c r="AE62" s="48"/>
      <c r="AF62" s="48"/>
      <c r="AG62" s="48"/>
      <c r="AH62" s="48"/>
      <c r="AI62" s="49"/>
    </row>
    <row r="63" spans="1:35" x14ac:dyDescent="0.25">
      <c r="A63" s="48">
        <v>9</v>
      </c>
      <c r="B63" s="166" t="s">
        <v>332</v>
      </c>
      <c r="C63" s="166" t="s">
        <v>331</v>
      </c>
      <c r="D63" s="150">
        <f t="shared" si="5"/>
        <v>1081906</v>
      </c>
      <c r="E63" s="48"/>
      <c r="F63" s="48"/>
      <c r="G63" s="35"/>
      <c r="H63" s="35"/>
      <c r="I63" s="35"/>
      <c r="J63" s="35"/>
      <c r="K63" s="35"/>
      <c r="L63" s="35">
        <v>63630</v>
      </c>
      <c r="M63" s="48">
        <v>42588</v>
      </c>
      <c r="N63" s="48">
        <v>56700</v>
      </c>
      <c r="O63" s="48">
        <v>64260</v>
      </c>
      <c r="P63" s="48">
        <v>37800</v>
      </c>
      <c r="Q63" s="48">
        <v>30240</v>
      </c>
      <c r="R63" s="40"/>
      <c r="S63" s="40"/>
      <c r="T63" s="40"/>
      <c r="U63" s="40">
        <v>41580</v>
      </c>
      <c r="V63" s="48">
        <v>37800</v>
      </c>
      <c r="W63" s="48">
        <v>18900</v>
      </c>
      <c r="X63" s="48">
        <v>41580</v>
      </c>
      <c r="Y63" s="48">
        <v>64260</v>
      </c>
      <c r="Z63" s="48">
        <v>52920</v>
      </c>
      <c r="AA63" s="48">
        <v>32760</v>
      </c>
      <c r="AB63" s="48">
        <v>37800</v>
      </c>
      <c r="AC63" s="48"/>
      <c r="AD63" s="48">
        <v>46460</v>
      </c>
      <c r="AE63" s="48">
        <v>80480</v>
      </c>
      <c r="AF63" s="48">
        <v>36460</v>
      </c>
      <c r="AG63" s="48">
        <f>31340+8099</f>
        <v>39439</v>
      </c>
      <c r="AH63" s="48">
        <v>80475</v>
      </c>
      <c r="AI63" s="49">
        <v>175774</v>
      </c>
    </row>
    <row r="64" spans="1:35" x14ac:dyDescent="0.25">
      <c r="A64" s="48">
        <v>10</v>
      </c>
      <c r="B64" s="166" t="s">
        <v>201</v>
      </c>
      <c r="C64" s="166" t="s">
        <v>200</v>
      </c>
      <c r="D64" s="150">
        <f t="shared" si="5"/>
        <v>5000</v>
      </c>
      <c r="E64" s="48"/>
      <c r="F64" s="48"/>
      <c r="G64" s="35"/>
      <c r="H64" s="35"/>
      <c r="I64" s="35"/>
      <c r="J64" s="35"/>
      <c r="K64" s="35">
        <v>3000</v>
      </c>
      <c r="L64" s="35"/>
      <c r="M64" s="48"/>
      <c r="N64" s="48"/>
      <c r="O64" s="48"/>
      <c r="P64" s="48"/>
      <c r="Q64" s="48"/>
      <c r="R64" s="40"/>
      <c r="S64" s="40"/>
      <c r="T64" s="40"/>
      <c r="U64" s="40"/>
      <c r="V64" s="48"/>
      <c r="W64" s="48"/>
      <c r="X64" s="48"/>
      <c r="Y64" s="48"/>
      <c r="Z64" s="48"/>
      <c r="AA64" s="48"/>
      <c r="AB64" s="48"/>
      <c r="AC64" s="48">
        <v>2000</v>
      </c>
      <c r="AD64" s="48"/>
      <c r="AE64" s="48"/>
      <c r="AF64" s="48"/>
      <c r="AG64" s="48"/>
      <c r="AH64" s="48"/>
      <c r="AI64" s="49"/>
    </row>
    <row r="65" spans="1:35" x14ac:dyDescent="0.25">
      <c r="A65" s="48">
        <v>11</v>
      </c>
      <c r="B65" s="166" t="s">
        <v>613</v>
      </c>
      <c r="C65" s="166" t="s">
        <v>611</v>
      </c>
      <c r="D65" s="150">
        <f t="shared" si="5"/>
        <v>4500</v>
      </c>
      <c r="E65" s="48"/>
      <c r="F65" s="48"/>
      <c r="G65" s="35"/>
      <c r="H65" s="35"/>
      <c r="I65" s="35"/>
      <c r="J65" s="35"/>
      <c r="K65" s="35"/>
      <c r="L65" s="35">
        <v>3500</v>
      </c>
      <c r="M65" s="48"/>
      <c r="N65" s="48"/>
      <c r="O65" s="48"/>
      <c r="P65" s="48"/>
      <c r="Q65" s="48"/>
      <c r="R65" s="40"/>
      <c r="S65" s="40"/>
      <c r="T65" s="40"/>
      <c r="U65" s="40"/>
      <c r="V65" s="48"/>
      <c r="W65" s="48"/>
      <c r="X65" s="48"/>
      <c r="Y65" s="48"/>
      <c r="Z65" s="48"/>
      <c r="AA65" s="48"/>
      <c r="AB65" s="48"/>
      <c r="AC65" s="48">
        <v>1000</v>
      </c>
      <c r="AD65" s="48"/>
      <c r="AE65" s="48"/>
      <c r="AF65" s="48"/>
      <c r="AG65" s="48"/>
      <c r="AH65" s="48"/>
      <c r="AI65" s="49"/>
    </row>
    <row r="66" spans="1:35" x14ac:dyDescent="0.25">
      <c r="A66" s="48">
        <v>12</v>
      </c>
      <c r="B66" s="166" t="s">
        <v>614</v>
      </c>
      <c r="C66" s="166" t="s">
        <v>612</v>
      </c>
      <c r="D66" s="150">
        <f t="shared" si="5"/>
        <v>3419</v>
      </c>
      <c r="E66" s="48"/>
      <c r="F66" s="48"/>
      <c r="G66" s="35"/>
      <c r="H66" s="35">
        <v>2319</v>
      </c>
      <c r="I66" s="35"/>
      <c r="J66" s="35">
        <v>1100</v>
      </c>
      <c r="K66" s="35"/>
      <c r="L66" s="35"/>
      <c r="M66" s="48"/>
      <c r="N66" s="48"/>
      <c r="O66" s="48"/>
      <c r="P66" s="48"/>
      <c r="Q66" s="48"/>
      <c r="R66" s="40"/>
      <c r="S66" s="40"/>
      <c r="T66" s="40"/>
      <c r="U66" s="40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9"/>
    </row>
    <row r="67" spans="1:35" x14ac:dyDescent="0.25">
      <c r="A67" s="48">
        <v>13</v>
      </c>
      <c r="B67" s="166" t="s">
        <v>429</v>
      </c>
      <c r="C67" s="166" t="s">
        <v>428</v>
      </c>
      <c r="D67" s="150">
        <f t="shared" si="5"/>
        <v>176203</v>
      </c>
      <c r="E67" s="48"/>
      <c r="F67" s="48"/>
      <c r="G67" s="35"/>
      <c r="H67" s="35">
        <v>50</v>
      </c>
      <c r="I67" s="35"/>
      <c r="J67" s="35"/>
      <c r="K67" s="35">
        <v>9450</v>
      </c>
      <c r="L67" s="35">
        <v>32760</v>
      </c>
      <c r="M67" s="48">
        <v>7790</v>
      </c>
      <c r="N67" s="48"/>
      <c r="O67" s="48"/>
      <c r="P67" s="48"/>
      <c r="Q67" s="48">
        <v>9450</v>
      </c>
      <c r="R67" s="40"/>
      <c r="S67" s="40"/>
      <c r="T67" s="40"/>
      <c r="U67" s="40">
        <v>15550</v>
      </c>
      <c r="V67" s="48">
        <v>23310</v>
      </c>
      <c r="W67" s="48"/>
      <c r="X67" s="48"/>
      <c r="Y67" s="48"/>
      <c r="Z67" s="48"/>
      <c r="AA67" s="48">
        <v>25830</v>
      </c>
      <c r="AB67" s="48"/>
      <c r="AC67" s="48">
        <v>18900</v>
      </c>
      <c r="AD67" s="48">
        <v>1960</v>
      </c>
      <c r="AE67" s="48"/>
      <c r="AF67" s="48">
        <v>10000</v>
      </c>
      <c r="AG67" s="48">
        <v>15120</v>
      </c>
      <c r="AH67" s="48">
        <v>1890</v>
      </c>
      <c r="AI67" s="49">
        <f>3779+364</f>
        <v>4143</v>
      </c>
    </row>
    <row r="68" spans="1:35" x14ac:dyDescent="0.25">
      <c r="A68" s="48">
        <v>14</v>
      </c>
      <c r="B68" s="166" t="s">
        <v>994</v>
      </c>
      <c r="C68" s="166" t="s">
        <v>993</v>
      </c>
      <c r="D68" s="150">
        <f t="shared" si="5"/>
        <v>6000</v>
      </c>
      <c r="E68" s="48"/>
      <c r="F68" s="48"/>
      <c r="G68" s="35"/>
      <c r="H68" s="35"/>
      <c r="I68" s="35"/>
      <c r="J68" s="35"/>
      <c r="K68" s="35">
        <v>1000</v>
      </c>
      <c r="L68" s="35"/>
      <c r="M68" s="48"/>
      <c r="N68" s="48"/>
      <c r="O68" s="48"/>
      <c r="P68" s="48"/>
      <c r="Q68" s="48"/>
      <c r="R68" s="40"/>
      <c r="S68" s="40"/>
      <c r="T68" s="40"/>
      <c r="U68" s="40"/>
      <c r="V68" s="48"/>
      <c r="W68" s="48"/>
      <c r="X68" s="48"/>
      <c r="Y68" s="48"/>
      <c r="Z68" s="48"/>
      <c r="AA68" s="48">
        <v>5000</v>
      </c>
      <c r="AB68" s="48"/>
      <c r="AC68" s="48"/>
      <c r="AD68" s="48"/>
      <c r="AE68" s="48"/>
      <c r="AF68" s="48"/>
      <c r="AG68" s="48"/>
      <c r="AH68" s="48"/>
      <c r="AI68" s="49"/>
    </row>
    <row r="69" spans="1:35" x14ac:dyDescent="0.25">
      <c r="A69" s="48">
        <v>15</v>
      </c>
      <c r="B69" s="166" t="s">
        <v>831</v>
      </c>
      <c r="C69" s="166" t="s">
        <v>829</v>
      </c>
      <c r="D69" s="150">
        <f t="shared" si="5"/>
        <v>4000</v>
      </c>
      <c r="E69" s="48"/>
      <c r="F69" s="48"/>
      <c r="G69" s="35"/>
      <c r="H69" s="35"/>
      <c r="I69" s="35"/>
      <c r="J69" s="35"/>
      <c r="K69" s="35"/>
      <c r="L69" s="35"/>
      <c r="M69" s="48"/>
      <c r="N69" s="48"/>
      <c r="O69" s="48"/>
      <c r="P69" s="48">
        <v>4000</v>
      </c>
      <c r="Q69" s="48"/>
      <c r="R69" s="40"/>
      <c r="S69" s="40"/>
      <c r="T69" s="40"/>
      <c r="U69" s="40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9"/>
    </row>
    <row r="70" spans="1:35" x14ac:dyDescent="0.25">
      <c r="A70" s="48">
        <v>16</v>
      </c>
      <c r="B70" s="166" t="s">
        <v>832</v>
      </c>
      <c r="C70" s="166" t="s">
        <v>830</v>
      </c>
      <c r="D70" s="150">
        <f t="shared" si="5"/>
        <v>1000</v>
      </c>
      <c r="E70" s="48"/>
      <c r="F70" s="48"/>
      <c r="G70" s="35"/>
      <c r="H70" s="35"/>
      <c r="I70" s="35"/>
      <c r="J70" s="35"/>
      <c r="K70" s="35"/>
      <c r="L70" s="35"/>
      <c r="M70" s="48"/>
      <c r="N70" s="48"/>
      <c r="O70" s="48"/>
      <c r="P70" s="48">
        <v>1000</v>
      </c>
      <c r="Q70" s="48"/>
      <c r="R70" s="40"/>
      <c r="S70" s="40"/>
      <c r="T70" s="40"/>
      <c r="U70" s="40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9"/>
    </row>
    <row r="71" spans="1:35" x14ac:dyDescent="0.25">
      <c r="A71" s="48">
        <v>17</v>
      </c>
      <c r="B71" s="166" t="s">
        <v>522</v>
      </c>
      <c r="C71" s="166" t="s">
        <v>521</v>
      </c>
      <c r="D71" s="150">
        <f t="shared" si="5"/>
        <v>1400</v>
      </c>
      <c r="E71" s="48"/>
      <c r="F71" s="48"/>
      <c r="G71" s="35"/>
      <c r="H71" s="35"/>
      <c r="I71" s="35"/>
      <c r="J71" s="35"/>
      <c r="K71" s="35"/>
      <c r="L71" s="35"/>
      <c r="M71" s="48"/>
      <c r="N71" s="48"/>
      <c r="O71" s="48"/>
      <c r="P71" s="48"/>
      <c r="Q71" s="48"/>
      <c r="R71" s="40"/>
      <c r="S71" s="40"/>
      <c r="T71" s="40"/>
      <c r="U71" s="40"/>
      <c r="V71" s="48"/>
      <c r="W71" s="48"/>
      <c r="X71" s="48"/>
      <c r="Y71" s="48"/>
      <c r="Z71" s="48"/>
      <c r="AA71" s="48"/>
      <c r="AB71" s="48"/>
      <c r="AC71" s="48"/>
      <c r="AD71" s="48">
        <v>1400</v>
      </c>
      <c r="AE71" s="48"/>
      <c r="AF71" s="48"/>
      <c r="AG71" s="48"/>
      <c r="AH71" s="48"/>
      <c r="AI71" s="49"/>
    </row>
    <row r="72" spans="1:35" x14ac:dyDescent="0.25">
      <c r="A72" s="48">
        <v>18</v>
      </c>
      <c r="B72" s="166" t="s">
        <v>524</v>
      </c>
      <c r="C72" s="166" t="s">
        <v>523</v>
      </c>
      <c r="D72" s="150">
        <f t="shared" si="5"/>
        <v>10000</v>
      </c>
      <c r="E72" s="48"/>
      <c r="F72" s="48"/>
      <c r="G72" s="35"/>
      <c r="H72" s="35"/>
      <c r="I72" s="35"/>
      <c r="J72" s="35"/>
      <c r="K72" s="35"/>
      <c r="L72" s="35"/>
      <c r="M72" s="48"/>
      <c r="N72" s="48"/>
      <c r="O72" s="48"/>
      <c r="P72" s="48"/>
      <c r="Q72" s="48"/>
      <c r="R72" s="40"/>
      <c r="S72" s="40"/>
      <c r="T72" s="40"/>
      <c r="U72" s="40"/>
      <c r="V72" s="48"/>
      <c r="W72" s="48"/>
      <c r="X72" s="48"/>
      <c r="Y72" s="48">
        <v>10000</v>
      </c>
      <c r="Z72" s="48"/>
      <c r="AA72" s="48"/>
      <c r="AB72" s="48"/>
      <c r="AC72" s="48"/>
      <c r="AD72" s="48"/>
      <c r="AE72" s="48"/>
      <c r="AF72" s="48"/>
      <c r="AG72" s="48"/>
      <c r="AH72" s="48"/>
      <c r="AI72" s="49"/>
    </row>
    <row r="73" spans="1:35" x14ac:dyDescent="0.25">
      <c r="A73" s="48">
        <v>19</v>
      </c>
      <c r="B73" s="166" t="s">
        <v>533</v>
      </c>
      <c r="C73" s="166" t="s">
        <v>532</v>
      </c>
      <c r="D73" s="150">
        <f t="shared" si="5"/>
        <v>0</v>
      </c>
      <c r="E73" s="48"/>
      <c r="F73" s="48"/>
      <c r="G73" s="35"/>
      <c r="H73" s="35"/>
      <c r="I73" s="35"/>
      <c r="J73" s="35"/>
      <c r="K73" s="35"/>
      <c r="L73" s="35"/>
      <c r="M73" s="48"/>
      <c r="N73" s="48"/>
      <c r="O73" s="48"/>
      <c r="P73" s="48"/>
      <c r="Q73" s="48"/>
      <c r="R73" s="40"/>
      <c r="S73" s="40"/>
      <c r="T73" s="40"/>
      <c r="U73" s="40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9"/>
    </row>
    <row r="74" spans="1:35" x14ac:dyDescent="0.25">
      <c r="A74" s="48">
        <v>20</v>
      </c>
      <c r="B74" s="166" t="s">
        <v>738</v>
      </c>
      <c r="C74" s="166" t="s">
        <v>737</v>
      </c>
      <c r="D74" s="150">
        <f t="shared" si="5"/>
        <v>6000</v>
      </c>
      <c r="E74" s="48"/>
      <c r="F74" s="48"/>
      <c r="G74" s="35"/>
      <c r="H74" s="35"/>
      <c r="I74" s="35"/>
      <c r="J74" s="35"/>
      <c r="K74" s="35"/>
      <c r="L74" s="35"/>
      <c r="M74" s="48"/>
      <c r="N74" s="48"/>
      <c r="O74" s="48"/>
      <c r="P74" s="48"/>
      <c r="Q74" s="48"/>
      <c r="R74" s="40"/>
      <c r="S74" s="40"/>
      <c r="T74" s="40"/>
      <c r="U74" s="40"/>
      <c r="V74" s="48"/>
      <c r="W74" s="48"/>
      <c r="X74" s="48"/>
      <c r="Y74" s="48"/>
      <c r="Z74" s="48"/>
      <c r="AA74" s="48">
        <v>2940</v>
      </c>
      <c r="AB74" s="48">
        <v>3060</v>
      </c>
      <c r="AC74" s="48"/>
      <c r="AD74" s="48"/>
      <c r="AE74" s="48"/>
      <c r="AF74" s="48"/>
      <c r="AG74" s="48"/>
      <c r="AH74" s="48"/>
      <c r="AI74" s="49"/>
    </row>
    <row r="75" spans="1:35" x14ac:dyDescent="0.25">
      <c r="A75" s="48">
        <v>21</v>
      </c>
      <c r="B75" s="166" t="s">
        <v>246</v>
      </c>
      <c r="C75" s="166" t="s">
        <v>245</v>
      </c>
      <c r="D75" s="150">
        <f t="shared" si="5"/>
        <v>20375</v>
      </c>
      <c r="E75" s="48"/>
      <c r="F75" s="48"/>
      <c r="G75" s="35"/>
      <c r="H75" s="35"/>
      <c r="I75" s="35">
        <v>375</v>
      </c>
      <c r="J75" s="35"/>
      <c r="K75" s="35"/>
      <c r="L75" s="35">
        <v>7500</v>
      </c>
      <c r="M75" s="48"/>
      <c r="N75" s="48"/>
      <c r="O75" s="48">
        <v>2500</v>
      </c>
      <c r="P75" s="48"/>
      <c r="Q75" s="48"/>
      <c r="R75" s="40"/>
      <c r="S75" s="40"/>
      <c r="T75" s="40"/>
      <c r="U75" s="40"/>
      <c r="V75" s="48"/>
      <c r="W75" s="48"/>
      <c r="X75" s="48"/>
      <c r="Y75" s="48"/>
      <c r="Z75" s="48"/>
      <c r="AA75" s="48"/>
      <c r="AB75" s="48"/>
      <c r="AC75" s="48"/>
      <c r="AD75" s="48"/>
      <c r="AE75" s="48">
        <v>7625</v>
      </c>
      <c r="AF75" s="48">
        <v>2375</v>
      </c>
      <c r="AG75" s="48"/>
      <c r="AH75" s="48"/>
      <c r="AI75" s="49"/>
    </row>
    <row r="76" spans="1:35" x14ac:dyDescent="0.25">
      <c r="A76" s="48">
        <v>22</v>
      </c>
      <c r="B76" s="166" t="s">
        <v>750</v>
      </c>
      <c r="C76" s="166" t="s">
        <v>749</v>
      </c>
      <c r="D76" s="150">
        <f t="shared" si="5"/>
        <v>0</v>
      </c>
      <c r="E76" s="48"/>
      <c r="F76" s="48"/>
      <c r="G76" s="35"/>
      <c r="H76" s="35"/>
      <c r="I76" s="35"/>
      <c r="J76" s="35"/>
      <c r="K76" s="35"/>
      <c r="L76" s="35"/>
      <c r="M76" s="48"/>
      <c r="N76" s="48"/>
      <c r="O76" s="48"/>
      <c r="P76" s="48"/>
      <c r="Q76" s="48"/>
      <c r="R76" s="40"/>
      <c r="S76" s="40"/>
      <c r="T76" s="40"/>
      <c r="U76" s="40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9"/>
    </row>
    <row r="77" spans="1:35" x14ac:dyDescent="0.25">
      <c r="A77" s="48">
        <v>23</v>
      </c>
      <c r="B77" s="166" t="s">
        <v>312</v>
      </c>
      <c r="C77" s="166" t="s">
        <v>311</v>
      </c>
      <c r="D77" s="150">
        <f t="shared" si="5"/>
        <v>10500</v>
      </c>
      <c r="E77" s="48"/>
      <c r="F77" s="48"/>
      <c r="G77" s="35"/>
      <c r="H77" s="35"/>
      <c r="I77" s="35"/>
      <c r="J77" s="35"/>
      <c r="K77" s="35"/>
      <c r="L77" s="35"/>
      <c r="M77" s="48"/>
      <c r="N77" s="48"/>
      <c r="O77" s="48"/>
      <c r="P77" s="48"/>
      <c r="Q77" s="48"/>
      <c r="R77" s="40"/>
      <c r="S77" s="40"/>
      <c r="T77" s="40"/>
      <c r="U77" s="40"/>
      <c r="V77" s="48"/>
      <c r="W77" s="48">
        <v>5500</v>
      </c>
      <c r="X77" s="48"/>
      <c r="Y77" s="48"/>
      <c r="Z77" s="48"/>
      <c r="AA77" s="48"/>
      <c r="AB77" s="48"/>
      <c r="AC77" s="48"/>
      <c r="AD77" s="48">
        <v>3000</v>
      </c>
      <c r="AE77" s="48">
        <v>2000</v>
      </c>
      <c r="AF77" s="48"/>
      <c r="AG77" s="48"/>
      <c r="AH77" s="48"/>
      <c r="AI77" s="49"/>
    </row>
    <row r="78" spans="1:35" x14ac:dyDescent="0.25">
      <c r="A78" s="48">
        <v>24</v>
      </c>
      <c r="B78" s="166" t="s">
        <v>169</v>
      </c>
      <c r="C78" s="166" t="s">
        <v>168</v>
      </c>
      <c r="D78" s="150">
        <f t="shared" si="5"/>
        <v>10000</v>
      </c>
      <c r="E78" s="48"/>
      <c r="F78" s="48"/>
      <c r="G78" s="35"/>
      <c r="H78" s="35"/>
      <c r="I78" s="35"/>
      <c r="J78" s="35"/>
      <c r="K78" s="35"/>
      <c r="L78" s="35"/>
      <c r="M78" s="48"/>
      <c r="N78" s="48"/>
      <c r="O78" s="48"/>
      <c r="P78" s="48">
        <v>9000</v>
      </c>
      <c r="Q78" s="48"/>
      <c r="R78" s="40"/>
      <c r="S78" s="40"/>
      <c r="T78" s="40"/>
      <c r="U78" s="40">
        <v>1000</v>
      </c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9"/>
    </row>
    <row r="79" spans="1:35" x14ac:dyDescent="0.25">
      <c r="A79" s="48">
        <v>25</v>
      </c>
      <c r="B79" s="166" t="s">
        <v>324</v>
      </c>
      <c r="C79" s="166" t="s">
        <v>323</v>
      </c>
      <c r="D79" s="150">
        <f t="shared" si="5"/>
        <v>39500</v>
      </c>
      <c r="E79" s="48"/>
      <c r="F79" s="48"/>
      <c r="G79" s="35"/>
      <c r="H79" s="35"/>
      <c r="I79" s="35"/>
      <c r="J79" s="35"/>
      <c r="K79" s="35"/>
      <c r="L79" s="35"/>
      <c r="M79" s="48"/>
      <c r="N79" s="48"/>
      <c r="O79" s="48"/>
      <c r="P79" s="48">
        <v>5040</v>
      </c>
      <c r="Q79" s="48">
        <v>3150</v>
      </c>
      <c r="R79" s="40"/>
      <c r="S79" s="40"/>
      <c r="T79" s="40"/>
      <c r="U79" s="40">
        <v>1810</v>
      </c>
      <c r="V79" s="48"/>
      <c r="W79" s="48">
        <v>8820</v>
      </c>
      <c r="X79" s="48">
        <v>2680</v>
      </c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9">
        <v>18000</v>
      </c>
    </row>
    <row r="80" spans="1:35" x14ac:dyDescent="0.25">
      <c r="A80" s="48">
        <v>26</v>
      </c>
      <c r="B80" s="166" t="s">
        <v>508</v>
      </c>
      <c r="C80" s="166" t="s">
        <v>507</v>
      </c>
      <c r="D80" s="150">
        <f t="shared" si="5"/>
        <v>748</v>
      </c>
      <c r="E80" s="48"/>
      <c r="F80" s="48"/>
      <c r="G80" s="35"/>
      <c r="H80" s="35">
        <v>660</v>
      </c>
      <c r="I80" s="35"/>
      <c r="J80" s="35"/>
      <c r="K80" s="35"/>
      <c r="L80" s="35"/>
      <c r="M80" s="48"/>
      <c r="N80" s="48"/>
      <c r="O80" s="48"/>
      <c r="P80" s="48"/>
      <c r="Q80" s="48"/>
      <c r="R80" s="40"/>
      <c r="S80" s="40"/>
      <c r="T80" s="40"/>
      <c r="U80" s="40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9">
        <v>88</v>
      </c>
    </row>
    <row r="81" spans="1:35" x14ac:dyDescent="0.25">
      <c r="A81" s="48">
        <v>27</v>
      </c>
      <c r="B81" s="166" t="s">
        <v>250</v>
      </c>
      <c r="C81" s="166" t="s">
        <v>249</v>
      </c>
      <c r="D81" s="150">
        <f t="shared" si="5"/>
        <v>0</v>
      </c>
      <c r="E81" s="48"/>
      <c r="F81" s="48"/>
      <c r="G81" s="35"/>
      <c r="H81" s="35"/>
      <c r="I81" s="35"/>
      <c r="J81" s="35"/>
      <c r="K81" s="35"/>
      <c r="L81" s="35"/>
      <c r="M81" s="48"/>
      <c r="N81" s="48"/>
      <c r="O81" s="48"/>
      <c r="P81" s="48"/>
      <c r="Q81" s="48"/>
      <c r="R81" s="40"/>
      <c r="S81" s="40"/>
      <c r="T81" s="40"/>
      <c r="U81" s="40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9"/>
    </row>
    <row r="82" spans="1:35" x14ac:dyDescent="0.25">
      <c r="A82" s="48">
        <v>28</v>
      </c>
      <c r="B82" s="166" t="s">
        <v>479</v>
      </c>
      <c r="C82" s="166" t="s">
        <v>478</v>
      </c>
      <c r="D82" s="150">
        <f t="shared" si="5"/>
        <v>50000</v>
      </c>
      <c r="E82" s="48"/>
      <c r="F82" s="48"/>
      <c r="G82" s="35"/>
      <c r="H82" s="35"/>
      <c r="I82" s="35"/>
      <c r="J82" s="35"/>
      <c r="K82" s="35"/>
      <c r="L82" s="35"/>
      <c r="M82" s="48"/>
      <c r="N82" s="48"/>
      <c r="O82" s="48"/>
      <c r="P82" s="48"/>
      <c r="Q82" s="48">
        <v>3780</v>
      </c>
      <c r="R82" s="40"/>
      <c r="S82" s="40"/>
      <c r="T82" s="40"/>
      <c r="U82" s="40">
        <v>6220</v>
      </c>
      <c r="V82" s="48"/>
      <c r="W82" s="48"/>
      <c r="X82" s="48"/>
      <c r="Y82" s="48"/>
      <c r="Z82" s="48"/>
      <c r="AA82" s="48"/>
      <c r="AB82" s="48">
        <v>19697</v>
      </c>
      <c r="AC82" s="48">
        <v>11000</v>
      </c>
      <c r="AD82" s="48">
        <v>9303</v>
      </c>
      <c r="AE82" s="48"/>
      <c r="AF82" s="48"/>
      <c r="AG82" s="48"/>
      <c r="AH82" s="48"/>
      <c r="AI82" s="49"/>
    </row>
    <row r="83" spans="1:35" x14ac:dyDescent="0.25">
      <c r="A83" s="48">
        <v>29</v>
      </c>
      <c r="B83" s="166" t="s">
        <v>480</v>
      </c>
      <c r="C83" s="166" t="s">
        <v>481</v>
      </c>
      <c r="D83" s="150">
        <f t="shared" si="5"/>
        <v>0</v>
      </c>
      <c r="E83" s="48"/>
      <c r="F83" s="48"/>
      <c r="G83" s="35"/>
      <c r="H83" s="35"/>
      <c r="I83" s="35"/>
      <c r="J83" s="35"/>
      <c r="K83" s="35"/>
      <c r="L83" s="35"/>
      <c r="M83" s="48"/>
      <c r="N83" s="48"/>
      <c r="O83" s="48"/>
      <c r="P83" s="48"/>
      <c r="Q83" s="48"/>
      <c r="R83" s="40"/>
      <c r="S83" s="40"/>
      <c r="T83" s="40"/>
      <c r="U83" s="40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9"/>
    </row>
    <row r="84" spans="1:35" x14ac:dyDescent="0.25">
      <c r="A84" s="48">
        <v>30</v>
      </c>
      <c r="B84" s="166" t="s">
        <v>242</v>
      </c>
      <c r="C84" s="166" t="s">
        <v>241</v>
      </c>
      <c r="D84" s="150">
        <f t="shared" si="5"/>
        <v>69939</v>
      </c>
      <c r="E84" s="48"/>
      <c r="F84" s="48"/>
      <c r="G84" s="35"/>
      <c r="H84" s="35"/>
      <c r="I84" s="35"/>
      <c r="J84" s="35"/>
      <c r="K84" s="35"/>
      <c r="L84" s="35"/>
      <c r="M84" s="48"/>
      <c r="N84" s="48"/>
      <c r="O84" s="48">
        <v>13500</v>
      </c>
      <c r="P84" s="48">
        <v>5940</v>
      </c>
      <c r="Q84" s="48"/>
      <c r="R84" s="40"/>
      <c r="S84" s="40"/>
      <c r="T84" s="40"/>
      <c r="U84" s="40"/>
      <c r="V84" s="48"/>
      <c r="W84" s="48">
        <v>5000</v>
      </c>
      <c r="X84" s="48">
        <v>5130</v>
      </c>
      <c r="Y84" s="48">
        <v>4870</v>
      </c>
      <c r="Z84" s="48"/>
      <c r="AA84" s="48"/>
      <c r="AB84" s="48">
        <v>6420</v>
      </c>
      <c r="AC84" s="48">
        <v>6480</v>
      </c>
      <c r="AD84" s="48">
        <v>945</v>
      </c>
      <c r="AE84" s="48"/>
      <c r="AF84" s="48"/>
      <c r="AG84" s="48">
        <v>8000</v>
      </c>
      <c r="AH84" s="48">
        <v>10440</v>
      </c>
      <c r="AI84" s="49">
        <v>3214</v>
      </c>
    </row>
    <row r="85" spans="1:35" x14ac:dyDescent="0.25">
      <c r="A85" s="48">
        <v>31</v>
      </c>
      <c r="B85" s="166" t="s">
        <v>376</v>
      </c>
      <c r="C85" s="166" t="s">
        <v>375</v>
      </c>
      <c r="D85" s="150">
        <f t="shared" si="5"/>
        <v>0</v>
      </c>
      <c r="E85" s="48"/>
      <c r="F85" s="48"/>
      <c r="G85" s="35"/>
      <c r="H85" s="35"/>
      <c r="I85" s="35"/>
      <c r="J85" s="35"/>
      <c r="K85" s="35"/>
      <c r="L85" s="35"/>
      <c r="M85" s="48"/>
      <c r="N85" s="48"/>
      <c r="O85" s="48"/>
      <c r="P85" s="48"/>
      <c r="Q85" s="48"/>
      <c r="R85" s="40"/>
      <c r="S85" s="40"/>
      <c r="T85" s="40"/>
      <c r="U85" s="40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9"/>
    </row>
    <row r="86" spans="1:35" x14ac:dyDescent="0.25">
      <c r="A86" s="48">
        <v>32</v>
      </c>
      <c r="B86" s="166" t="s">
        <v>98</v>
      </c>
      <c r="C86" s="166" t="s">
        <v>99</v>
      </c>
      <c r="D86" s="150">
        <f t="shared" si="5"/>
        <v>0</v>
      </c>
      <c r="E86" s="48"/>
      <c r="F86" s="48"/>
      <c r="G86" s="35"/>
      <c r="H86" s="35"/>
      <c r="I86" s="35"/>
      <c r="J86" s="35"/>
      <c r="K86" s="35"/>
      <c r="L86" s="35"/>
      <c r="M86" s="48"/>
      <c r="N86" s="48"/>
      <c r="O86" s="48"/>
      <c r="P86" s="48"/>
      <c r="Q86" s="48"/>
      <c r="R86" s="40"/>
      <c r="S86" s="40"/>
      <c r="T86" s="40"/>
      <c r="U86" s="40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9"/>
    </row>
    <row r="87" spans="1:35" x14ac:dyDescent="0.25">
      <c r="A87" s="48">
        <v>33</v>
      </c>
      <c r="B87" s="166" t="s">
        <v>100</v>
      </c>
      <c r="C87" s="166" t="s">
        <v>101</v>
      </c>
      <c r="D87" s="150">
        <f t="shared" si="5"/>
        <v>0</v>
      </c>
      <c r="E87" s="48"/>
      <c r="F87" s="48"/>
      <c r="G87" s="35"/>
      <c r="H87" s="35"/>
      <c r="I87" s="35"/>
      <c r="J87" s="35"/>
      <c r="K87" s="35"/>
      <c r="L87" s="35"/>
      <c r="M87" s="48"/>
      <c r="N87" s="48"/>
      <c r="O87" s="48"/>
      <c r="P87" s="48"/>
      <c r="Q87" s="48"/>
      <c r="R87" s="40"/>
      <c r="S87" s="40"/>
      <c r="T87" s="40"/>
      <c r="U87" s="40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9"/>
    </row>
    <row r="88" spans="1:35" x14ac:dyDescent="0.25">
      <c r="A88" s="48">
        <v>34</v>
      </c>
      <c r="B88" s="166" t="s">
        <v>146</v>
      </c>
      <c r="C88" s="166" t="s">
        <v>93</v>
      </c>
      <c r="D88" s="150">
        <f t="shared" si="5"/>
        <v>19000</v>
      </c>
      <c r="E88" s="48"/>
      <c r="F88" s="48"/>
      <c r="G88" s="35"/>
      <c r="H88" s="35"/>
      <c r="I88" s="35"/>
      <c r="J88" s="35"/>
      <c r="K88" s="35"/>
      <c r="L88" s="35"/>
      <c r="M88" s="48"/>
      <c r="N88" s="48"/>
      <c r="O88" s="48">
        <v>4524</v>
      </c>
      <c r="P88" s="48">
        <v>3476</v>
      </c>
      <c r="Q88" s="48"/>
      <c r="R88" s="40"/>
      <c r="S88" s="40"/>
      <c r="T88" s="40"/>
      <c r="U88" s="40"/>
      <c r="V88" s="48">
        <v>4095</v>
      </c>
      <c r="W88" s="48">
        <v>1905</v>
      </c>
      <c r="X88" s="48"/>
      <c r="Y88" s="48"/>
      <c r="Z88" s="48">
        <v>5000</v>
      </c>
      <c r="AA88" s="48"/>
      <c r="AB88" s="48"/>
      <c r="AC88" s="48"/>
      <c r="AD88" s="48"/>
      <c r="AE88" s="48"/>
      <c r="AF88" s="48"/>
      <c r="AG88" s="48"/>
      <c r="AH88" s="48"/>
      <c r="AI88" s="49"/>
    </row>
    <row r="89" spans="1:35" x14ac:dyDescent="0.25">
      <c r="A89" s="48">
        <v>35</v>
      </c>
      <c r="B89" s="166" t="s">
        <v>177</v>
      </c>
      <c r="C89" s="166" t="s">
        <v>176</v>
      </c>
      <c r="D89" s="150">
        <f t="shared" si="5"/>
        <v>37000</v>
      </c>
      <c r="E89" s="48"/>
      <c r="F89" s="48"/>
      <c r="G89" s="35"/>
      <c r="H89" s="35"/>
      <c r="I89" s="35"/>
      <c r="J89" s="35"/>
      <c r="K89" s="35"/>
      <c r="L89" s="35"/>
      <c r="M89" s="48"/>
      <c r="N89" s="48"/>
      <c r="O89" s="48"/>
      <c r="P89" s="48"/>
      <c r="Q89" s="48"/>
      <c r="R89" s="40"/>
      <c r="S89" s="40"/>
      <c r="T89" s="40"/>
      <c r="U89" s="40"/>
      <c r="V89" s="48">
        <v>2400</v>
      </c>
      <c r="W89" s="48">
        <v>9440</v>
      </c>
      <c r="X89" s="48"/>
      <c r="Y89" s="48"/>
      <c r="Z89" s="48"/>
      <c r="AA89" s="48"/>
      <c r="AB89" s="48"/>
      <c r="AC89" s="48"/>
      <c r="AD89" s="48"/>
      <c r="AE89" s="48">
        <v>15000</v>
      </c>
      <c r="AF89" s="48"/>
      <c r="AG89" s="48"/>
      <c r="AH89" s="48">
        <v>10160</v>
      </c>
      <c r="AI89" s="49"/>
    </row>
    <row r="90" spans="1:35" ht="15.75" x14ac:dyDescent="0.25">
      <c r="A90" s="48">
        <v>36</v>
      </c>
      <c r="B90" s="166" t="s">
        <v>463</v>
      </c>
      <c r="C90" s="155" t="s">
        <v>462</v>
      </c>
      <c r="D90" s="150">
        <f t="shared" si="5"/>
        <v>0</v>
      </c>
      <c r="E90" s="48"/>
      <c r="F90" s="48"/>
      <c r="G90" s="35"/>
      <c r="H90" s="35"/>
      <c r="I90" s="35"/>
      <c r="J90" s="35"/>
      <c r="K90" s="35"/>
      <c r="L90" s="35"/>
      <c r="M90" s="48"/>
      <c r="N90" s="48"/>
      <c r="O90" s="48"/>
      <c r="P90" s="48"/>
      <c r="Q90" s="48"/>
      <c r="R90" s="40"/>
      <c r="S90" s="40"/>
      <c r="T90" s="40"/>
      <c r="U90" s="40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9"/>
    </row>
    <row r="91" spans="1:35" x14ac:dyDescent="0.25">
      <c r="A91" s="48">
        <v>37</v>
      </c>
      <c r="B91" s="166" t="s">
        <v>254</v>
      </c>
      <c r="C91" s="166" t="s">
        <v>253</v>
      </c>
      <c r="D91" s="150">
        <f t="shared" si="5"/>
        <v>0</v>
      </c>
      <c r="E91" s="48"/>
      <c r="F91" s="48"/>
      <c r="G91" s="35"/>
      <c r="H91" s="35"/>
      <c r="I91" s="35"/>
      <c r="J91" s="35"/>
      <c r="K91" s="35"/>
      <c r="L91" s="35"/>
      <c r="M91" s="48"/>
      <c r="N91" s="48"/>
      <c r="O91" s="48"/>
      <c r="P91" s="48"/>
      <c r="Q91" s="48"/>
      <c r="R91" s="40"/>
      <c r="S91" s="40"/>
      <c r="T91" s="40"/>
      <c r="U91" s="40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9"/>
    </row>
    <row r="92" spans="1:35" x14ac:dyDescent="0.25">
      <c r="A92" s="48">
        <v>38</v>
      </c>
      <c r="B92" s="166" t="s">
        <v>238</v>
      </c>
      <c r="C92" s="166" t="s">
        <v>237</v>
      </c>
      <c r="D92" s="150">
        <f t="shared" si="5"/>
        <v>10000</v>
      </c>
      <c r="E92" s="48"/>
      <c r="F92" s="48"/>
      <c r="G92" s="35"/>
      <c r="H92" s="35"/>
      <c r="I92" s="35"/>
      <c r="J92" s="35"/>
      <c r="K92" s="35"/>
      <c r="L92" s="35"/>
      <c r="M92" s="48"/>
      <c r="N92" s="48"/>
      <c r="O92" s="48"/>
      <c r="P92" s="48"/>
      <c r="Q92" s="48"/>
      <c r="R92" s="40"/>
      <c r="S92" s="40"/>
      <c r="T92" s="40"/>
      <c r="U92" s="40"/>
      <c r="V92" s="48"/>
      <c r="W92" s="48"/>
      <c r="X92" s="48">
        <v>1125</v>
      </c>
      <c r="Y92" s="48">
        <v>8625</v>
      </c>
      <c r="Z92" s="48">
        <v>250</v>
      </c>
      <c r="AA92" s="48"/>
      <c r="AB92" s="48"/>
      <c r="AC92" s="48"/>
      <c r="AD92" s="48"/>
      <c r="AE92" s="48"/>
      <c r="AF92" s="48"/>
      <c r="AG92" s="48"/>
      <c r="AH92" s="48"/>
      <c r="AI92" s="49"/>
    </row>
    <row r="93" spans="1:35" x14ac:dyDescent="0.25">
      <c r="A93" s="48">
        <v>39</v>
      </c>
      <c r="B93" s="166" t="s">
        <v>197</v>
      </c>
      <c r="C93" s="166" t="s">
        <v>196</v>
      </c>
      <c r="D93" s="150">
        <f t="shared" si="5"/>
        <v>27000</v>
      </c>
      <c r="E93" s="48"/>
      <c r="F93" s="48"/>
      <c r="G93" s="35"/>
      <c r="H93" s="35"/>
      <c r="I93" s="35"/>
      <c r="J93" s="35"/>
      <c r="K93" s="35">
        <v>7000</v>
      </c>
      <c r="L93" s="35"/>
      <c r="M93" s="48"/>
      <c r="N93" s="48"/>
      <c r="O93" s="48"/>
      <c r="P93" s="48"/>
      <c r="Q93" s="48"/>
      <c r="R93" s="40"/>
      <c r="S93" s="40"/>
      <c r="T93" s="40"/>
      <c r="U93" s="40"/>
      <c r="V93" s="48"/>
      <c r="W93" s="48"/>
      <c r="X93" s="48">
        <v>10000</v>
      </c>
      <c r="Y93" s="48"/>
      <c r="Z93" s="48"/>
      <c r="AA93" s="48"/>
      <c r="AB93" s="48">
        <v>5000</v>
      </c>
      <c r="AC93" s="48"/>
      <c r="AD93" s="48"/>
      <c r="AE93" s="48"/>
      <c r="AF93" s="48"/>
      <c r="AG93" s="48">
        <v>5000</v>
      </c>
      <c r="AH93" s="48"/>
      <c r="AI93" s="49"/>
    </row>
    <row r="94" spans="1:35" x14ac:dyDescent="0.25">
      <c r="A94" s="48">
        <v>40</v>
      </c>
      <c r="B94" s="166" t="s">
        <v>203</v>
      </c>
      <c r="C94" s="166" t="s">
        <v>202</v>
      </c>
      <c r="D94" s="150">
        <f t="shared" si="5"/>
        <v>4700</v>
      </c>
      <c r="E94" s="48"/>
      <c r="F94" s="48"/>
      <c r="G94" s="35"/>
      <c r="H94" s="35"/>
      <c r="I94" s="35"/>
      <c r="J94" s="35"/>
      <c r="K94" s="35"/>
      <c r="L94" s="35"/>
      <c r="M94" s="48"/>
      <c r="N94" s="48"/>
      <c r="O94" s="48"/>
      <c r="P94" s="48"/>
      <c r="Q94" s="48"/>
      <c r="R94" s="40"/>
      <c r="S94" s="40"/>
      <c r="T94" s="40"/>
      <c r="U94" s="40"/>
      <c r="V94" s="48"/>
      <c r="W94" s="48"/>
      <c r="X94" s="48"/>
      <c r="Y94" s="48"/>
      <c r="Z94" s="48"/>
      <c r="AA94" s="48"/>
      <c r="AB94" s="48">
        <v>1890</v>
      </c>
      <c r="AC94" s="48">
        <v>2810</v>
      </c>
      <c r="AD94" s="48"/>
      <c r="AE94" s="48"/>
      <c r="AF94" s="48"/>
      <c r="AG94" s="48"/>
      <c r="AH94" s="48"/>
      <c r="AI94" s="49"/>
    </row>
    <row r="95" spans="1:35" x14ac:dyDescent="0.25">
      <c r="A95" s="48">
        <v>41</v>
      </c>
      <c r="B95" s="166" t="s">
        <v>147</v>
      </c>
      <c r="C95" s="166" t="s">
        <v>94</v>
      </c>
      <c r="D95" s="150">
        <f t="shared" si="5"/>
        <v>11600</v>
      </c>
      <c r="E95" s="48"/>
      <c r="F95" s="48"/>
      <c r="G95" s="35"/>
      <c r="H95" s="35"/>
      <c r="I95" s="35"/>
      <c r="J95" s="35"/>
      <c r="K95" s="35"/>
      <c r="L95" s="35"/>
      <c r="M95" s="48"/>
      <c r="N95" s="48"/>
      <c r="O95" s="48"/>
      <c r="P95" s="48"/>
      <c r="Q95" s="48"/>
      <c r="R95" s="40"/>
      <c r="S95" s="40"/>
      <c r="T95" s="40"/>
      <c r="U95" s="40"/>
      <c r="V95" s="48"/>
      <c r="W95" s="48"/>
      <c r="X95" s="48"/>
      <c r="Y95" s="48"/>
      <c r="Z95" s="48">
        <v>1260</v>
      </c>
      <c r="AA95" s="48">
        <v>2730</v>
      </c>
      <c r="AB95" s="48">
        <v>2610</v>
      </c>
      <c r="AC95" s="48"/>
      <c r="AD95" s="48"/>
      <c r="AE95" s="48"/>
      <c r="AF95" s="48">
        <v>546</v>
      </c>
      <c r="AG95" s="48">
        <v>3780</v>
      </c>
      <c r="AH95" s="48">
        <v>674</v>
      </c>
      <c r="AI95" s="49"/>
    </row>
    <row r="96" spans="1:35" x14ac:dyDescent="0.25">
      <c r="A96" s="48">
        <v>42</v>
      </c>
      <c r="B96" s="166" t="s">
        <v>268</v>
      </c>
      <c r="C96" s="166" t="s">
        <v>265</v>
      </c>
      <c r="D96" s="150">
        <f t="shared" si="5"/>
        <v>0</v>
      </c>
      <c r="E96" s="48"/>
      <c r="F96" s="48"/>
      <c r="G96" s="35"/>
      <c r="H96" s="35"/>
      <c r="I96" s="35"/>
      <c r="J96" s="35"/>
      <c r="K96" s="35"/>
      <c r="L96" s="35"/>
      <c r="M96" s="48"/>
      <c r="N96" s="48"/>
      <c r="O96" s="48"/>
      <c r="P96" s="48"/>
      <c r="Q96" s="48"/>
      <c r="R96" s="40"/>
      <c r="S96" s="40"/>
      <c r="T96" s="40"/>
      <c r="U96" s="40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9"/>
    </row>
    <row r="97" spans="1:35" x14ac:dyDescent="0.25">
      <c r="A97" s="48">
        <v>43</v>
      </c>
      <c r="B97" s="166" t="s">
        <v>269</v>
      </c>
      <c r="C97" s="166" t="s">
        <v>266</v>
      </c>
      <c r="D97" s="150">
        <f t="shared" si="5"/>
        <v>0</v>
      </c>
      <c r="E97" s="48"/>
      <c r="F97" s="48"/>
      <c r="G97" s="35"/>
      <c r="H97" s="35"/>
      <c r="I97" s="35"/>
      <c r="J97" s="35"/>
      <c r="K97" s="35"/>
      <c r="L97" s="35"/>
      <c r="M97" s="48"/>
      <c r="N97" s="48"/>
      <c r="O97" s="48"/>
      <c r="P97" s="48"/>
      <c r="Q97" s="48"/>
      <c r="R97" s="40"/>
      <c r="S97" s="40"/>
      <c r="T97" s="40"/>
      <c r="U97" s="40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9"/>
    </row>
    <row r="98" spans="1:35" x14ac:dyDescent="0.25">
      <c r="A98" s="48">
        <v>44</v>
      </c>
      <c r="B98" s="166" t="s">
        <v>270</v>
      </c>
      <c r="C98" s="166" t="s">
        <v>267</v>
      </c>
      <c r="D98" s="150">
        <f t="shared" si="5"/>
        <v>0</v>
      </c>
      <c r="E98" s="48"/>
      <c r="F98" s="48"/>
      <c r="G98" s="35"/>
      <c r="H98" s="35"/>
      <c r="I98" s="35"/>
      <c r="J98" s="35"/>
      <c r="K98" s="35"/>
      <c r="L98" s="35"/>
      <c r="M98" s="48"/>
      <c r="N98" s="48"/>
      <c r="O98" s="48"/>
      <c r="P98" s="48"/>
      <c r="Q98" s="48"/>
      <c r="R98" s="40"/>
      <c r="S98" s="40"/>
      <c r="T98" s="40"/>
      <c r="U98" s="40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9"/>
    </row>
    <row r="99" spans="1:35" x14ac:dyDescent="0.25">
      <c r="A99" s="48">
        <v>45</v>
      </c>
      <c r="B99" s="166" t="s">
        <v>205</v>
      </c>
      <c r="C99" s="166" t="s">
        <v>204</v>
      </c>
      <c r="D99" s="150">
        <f t="shared" si="5"/>
        <v>1652</v>
      </c>
      <c r="E99" s="48"/>
      <c r="F99" s="48"/>
      <c r="G99" s="35"/>
      <c r="H99" s="35"/>
      <c r="I99" s="35"/>
      <c r="J99" s="35"/>
      <c r="K99" s="35"/>
      <c r="L99" s="35"/>
      <c r="M99" s="48"/>
      <c r="N99" s="48"/>
      <c r="O99" s="48"/>
      <c r="P99" s="48"/>
      <c r="Q99" s="48"/>
      <c r="R99" s="40"/>
      <c r="S99" s="40"/>
      <c r="T99" s="40"/>
      <c r="U99" s="40"/>
      <c r="V99" s="48"/>
      <c r="W99" s="48"/>
      <c r="X99" s="48"/>
      <c r="Y99" s="48"/>
      <c r="Z99" s="48"/>
      <c r="AA99" s="48"/>
      <c r="AB99" s="48"/>
      <c r="AC99" s="48">
        <v>1460</v>
      </c>
      <c r="AD99" s="48"/>
      <c r="AE99" s="48"/>
      <c r="AF99" s="48"/>
      <c r="AG99" s="48"/>
      <c r="AH99" s="48"/>
      <c r="AI99" s="49">
        <v>192</v>
      </c>
    </row>
    <row r="100" spans="1:35" x14ac:dyDescent="0.25">
      <c r="A100" s="48">
        <v>46</v>
      </c>
      <c r="B100" s="166" t="s">
        <v>187</v>
      </c>
      <c r="C100" s="166" t="s">
        <v>186</v>
      </c>
      <c r="D100" s="150">
        <f t="shared" si="5"/>
        <v>51720</v>
      </c>
      <c r="E100" s="48"/>
      <c r="F100" s="48"/>
      <c r="G100" s="35"/>
      <c r="H100" s="35"/>
      <c r="I100" s="35"/>
      <c r="J100" s="35"/>
      <c r="K100" s="35"/>
      <c r="L100" s="35"/>
      <c r="M100" s="48"/>
      <c r="N100" s="48">
        <v>7720</v>
      </c>
      <c r="O100" s="48"/>
      <c r="P100" s="48"/>
      <c r="Q100" s="48"/>
      <c r="R100" s="40"/>
      <c r="S100" s="40"/>
      <c r="T100" s="40"/>
      <c r="U100" s="40"/>
      <c r="V100" s="48"/>
      <c r="W100" s="48"/>
      <c r="X100" s="48"/>
      <c r="Y100" s="48"/>
      <c r="Z100" s="48"/>
      <c r="AA100" s="48"/>
      <c r="AB100" s="48"/>
      <c r="AC100" s="48"/>
      <c r="AD100" s="48">
        <v>11340</v>
      </c>
      <c r="AE100" s="48">
        <v>8190</v>
      </c>
      <c r="AF100" s="48"/>
      <c r="AG100" s="48">
        <v>14245</v>
      </c>
      <c r="AH100" s="48">
        <v>10225</v>
      </c>
      <c r="AI100" s="49"/>
    </row>
    <row r="101" spans="1:35" x14ac:dyDescent="0.25">
      <c r="A101" s="141" t="s">
        <v>140</v>
      </c>
      <c r="B101" s="144" t="s">
        <v>121</v>
      </c>
      <c r="C101" s="141" t="s">
        <v>141</v>
      </c>
      <c r="D101" s="143">
        <f t="shared" ref="D101:AI101" si="6">SUM(D102:D143)</f>
        <v>2494179</v>
      </c>
      <c r="E101" s="143">
        <f t="shared" si="6"/>
        <v>123936</v>
      </c>
      <c r="F101" s="143">
        <f t="shared" si="6"/>
        <v>0</v>
      </c>
      <c r="G101" s="143">
        <f t="shared" si="6"/>
        <v>100960</v>
      </c>
      <c r="H101" s="143">
        <f t="shared" si="6"/>
        <v>241576</v>
      </c>
      <c r="I101" s="143">
        <f t="shared" si="6"/>
        <v>0</v>
      </c>
      <c r="J101" s="143">
        <f t="shared" si="6"/>
        <v>30000</v>
      </c>
      <c r="K101" s="143">
        <f t="shared" si="6"/>
        <v>75134</v>
      </c>
      <c r="L101" s="143">
        <f t="shared" si="6"/>
        <v>113976</v>
      </c>
      <c r="M101" s="143">
        <f t="shared" si="6"/>
        <v>56892</v>
      </c>
      <c r="N101" s="143">
        <f t="shared" si="6"/>
        <v>111936</v>
      </c>
      <c r="O101" s="143">
        <f t="shared" si="6"/>
        <v>116260</v>
      </c>
      <c r="P101" s="143">
        <f t="shared" si="6"/>
        <v>88004</v>
      </c>
      <c r="Q101" s="143">
        <f t="shared" si="6"/>
        <v>22272</v>
      </c>
      <c r="R101" s="143">
        <f t="shared" si="6"/>
        <v>0</v>
      </c>
      <c r="S101" s="143">
        <f t="shared" si="6"/>
        <v>0</v>
      </c>
      <c r="T101" s="143">
        <f t="shared" si="6"/>
        <v>0</v>
      </c>
      <c r="U101" s="143">
        <f t="shared" si="6"/>
        <v>79576</v>
      </c>
      <c r="V101" s="143">
        <f t="shared" si="6"/>
        <v>73348</v>
      </c>
      <c r="W101" s="143">
        <f t="shared" si="6"/>
        <v>83416</v>
      </c>
      <c r="X101" s="143">
        <f t="shared" si="6"/>
        <v>78200</v>
      </c>
      <c r="Y101" s="143">
        <f t="shared" si="6"/>
        <v>97639</v>
      </c>
      <c r="Z101" s="143">
        <f t="shared" si="6"/>
        <v>142182</v>
      </c>
      <c r="AA101" s="143">
        <f t="shared" si="6"/>
        <v>65840</v>
      </c>
      <c r="AB101" s="143">
        <f t="shared" si="6"/>
        <v>79324</v>
      </c>
      <c r="AC101" s="143">
        <f t="shared" si="6"/>
        <v>115686</v>
      </c>
      <c r="AD101" s="143">
        <f t="shared" si="6"/>
        <v>96477</v>
      </c>
      <c r="AE101" s="143">
        <f t="shared" si="6"/>
        <v>63985</v>
      </c>
      <c r="AF101" s="143">
        <f t="shared" si="6"/>
        <v>151288</v>
      </c>
      <c r="AG101" s="143">
        <f t="shared" si="6"/>
        <v>61520</v>
      </c>
      <c r="AH101" s="143">
        <f t="shared" si="6"/>
        <v>93872</v>
      </c>
      <c r="AI101" s="143">
        <f t="shared" si="6"/>
        <v>130880</v>
      </c>
    </row>
    <row r="102" spans="1:35" x14ac:dyDescent="0.25">
      <c r="A102" s="48">
        <v>1</v>
      </c>
      <c r="B102" s="166" t="s">
        <v>181</v>
      </c>
      <c r="C102" s="166" t="s">
        <v>180</v>
      </c>
      <c r="D102" s="150">
        <f t="shared" ref="D102:D143" si="7">SUM(E102:AI102)</f>
        <v>0</v>
      </c>
      <c r="E102" s="48"/>
      <c r="F102" s="48"/>
      <c r="G102" s="35"/>
      <c r="H102" s="35"/>
      <c r="I102" s="35"/>
      <c r="J102" s="35"/>
      <c r="K102" s="35"/>
      <c r="L102" s="35"/>
      <c r="M102" s="48"/>
      <c r="N102" s="48"/>
      <c r="O102" s="48"/>
      <c r="P102" s="48"/>
      <c r="Q102" s="48"/>
      <c r="R102" s="40"/>
      <c r="S102" s="40"/>
      <c r="T102" s="40"/>
      <c r="U102" s="40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9"/>
    </row>
    <row r="103" spans="1:35" x14ac:dyDescent="0.25">
      <c r="A103" s="48">
        <v>2</v>
      </c>
      <c r="B103" s="166" t="s">
        <v>736</v>
      </c>
      <c r="C103" s="166" t="s">
        <v>735</v>
      </c>
      <c r="D103" s="150">
        <f t="shared" si="7"/>
        <v>5000</v>
      </c>
      <c r="E103" s="48"/>
      <c r="F103" s="48"/>
      <c r="G103" s="35">
        <v>4960</v>
      </c>
      <c r="H103" s="35">
        <v>40</v>
      </c>
      <c r="I103" s="35"/>
      <c r="J103" s="35"/>
      <c r="K103" s="35"/>
      <c r="L103" s="35"/>
      <c r="M103" s="48"/>
      <c r="N103" s="48"/>
      <c r="O103" s="48"/>
      <c r="P103" s="48"/>
      <c r="Q103" s="48"/>
      <c r="R103" s="40"/>
      <c r="S103" s="40"/>
      <c r="T103" s="40"/>
      <c r="U103" s="40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9"/>
    </row>
    <row r="104" spans="1:35" x14ac:dyDescent="0.25">
      <c r="A104" s="48">
        <v>3</v>
      </c>
      <c r="B104" s="176" t="s">
        <v>1076</v>
      </c>
      <c r="C104" s="176" t="s">
        <v>1075</v>
      </c>
      <c r="D104" s="150">
        <f t="shared" si="7"/>
        <v>4000</v>
      </c>
      <c r="E104" s="48"/>
      <c r="F104" s="48"/>
      <c r="G104" s="35"/>
      <c r="H104" s="35"/>
      <c r="I104" s="35"/>
      <c r="J104" s="35"/>
      <c r="K104" s="35"/>
      <c r="L104" s="35"/>
      <c r="M104" s="48"/>
      <c r="N104" s="48"/>
      <c r="O104" s="48"/>
      <c r="P104" s="48"/>
      <c r="Q104" s="48"/>
      <c r="R104" s="40"/>
      <c r="S104" s="40"/>
      <c r="T104" s="40"/>
      <c r="U104" s="40"/>
      <c r="V104" s="48"/>
      <c r="W104" s="48"/>
      <c r="X104" s="48">
        <v>1000</v>
      </c>
      <c r="Y104" s="48">
        <v>1000</v>
      </c>
      <c r="Z104" s="48"/>
      <c r="AA104" s="48"/>
      <c r="AB104" s="48"/>
      <c r="AC104" s="48"/>
      <c r="AD104" s="48"/>
      <c r="AE104" s="48"/>
      <c r="AF104" s="48">
        <v>1488</v>
      </c>
      <c r="AG104" s="48"/>
      <c r="AH104" s="48"/>
      <c r="AI104" s="49">
        <v>512</v>
      </c>
    </row>
    <row r="105" spans="1:35" x14ac:dyDescent="0.25">
      <c r="A105" s="48">
        <v>4</v>
      </c>
      <c r="B105" s="176" t="s">
        <v>1066</v>
      </c>
      <c r="C105" s="176" t="s">
        <v>1065</v>
      </c>
      <c r="D105" s="150">
        <f t="shared" si="7"/>
        <v>10000</v>
      </c>
      <c r="E105" s="48"/>
      <c r="F105" s="48"/>
      <c r="G105" s="35"/>
      <c r="H105" s="35"/>
      <c r="I105" s="35"/>
      <c r="J105" s="35"/>
      <c r="K105" s="35"/>
      <c r="L105" s="35"/>
      <c r="M105" s="48"/>
      <c r="N105" s="48"/>
      <c r="O105" s="48"/>
      <c r="P105" s="48"/>
      <c r="Q105" s="48"/>
      <c r="R105" s="40"/>
      <c r="S105" s="40"/>
      <c r="T105" s="40"/>
      <c r="U105" s="40"/>
      <c r="V105" s="48">
        <v>10000</v>
      </c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9"/>
    </row>
    <row r="106" spans="1:35" x14ac:dyDescent="0.25">
      <c r="A106" s="48">
        <v>5</v>
      </c>
      <c r="B106" s="166" t="s">
        <v>754</v>
      </c>
      <c r="C106" s="166" t="s">
        <v>753</v>
      </c>
      <c r="D106" s="150">
        <f t="shared" si="7"/>
        <v>19000</v>
      </c>
      <c r="E106" s="48"/>
      <c r="F106" s="48"/>
      <c r="G106" s="35"/>
      <c r="H106" s="35"/>
      <c r="I106" s="35"/>
      <c r="J106" s="35"/>
      <c r="K106" s="35"/>
      <c r="L106" s="35"/>
      <c r="M106" s="48"/>
      <c r="N106" s="48"/>
      <c r="O106" s="48"/>
      <c r="P106" s="48">
        <v>18960</v>
      </c>
      <c r="Q106" s="48"/>
      <c r="R106" s="40"/>
      <c r="S106" s="40"/>
      <c r="T106" s="40"/>
      <c r="U106" s="40">
        <v>40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9"/>
    </row>
    <row r="107" spans="1:35" x14ac:dyDescent="0.25">
      <c r="A107" s="48">
        <v>6</v>
      </c>
      <c r="B107" s="166" t="s">
        <v>755</v>
      </c>
      <c r="C107" s="166" t="s">
        <v>756</v>
      </c>
      <c r="D107" s="150">
        <f t="shared" si="7"/>
        <v>9000</v>
      </c>
      <c r="E107" s="48"/>
      <c r="F107" s="166"/>
      <c r="G107" s="35"/>
      <c r="H107" s="35"/>
      <c r="I107" s="35"/>
      <c r="J107" s="35"/>
      <c r="K107" s="35"/>
      <c r="L107" s="35"/>
      <c r="M107" s="48"/>
      <c r="N107" s="48"/>
      <c r="O107" s="48"/>
      <c r="P107" s="48"/>
      <c r="Q107" s="48"/>
      <c r="R107" s="40"/>
      <c r="S107" s="40"/>
      <c r="T107" s="40"/>
      <c r="U107" s="40"/>
      <c r="V107" s="48">
        <v>7500</v>
      </c>
      <c r="W107" s="48"/>
      <c r="X107" s="48">
        <v>500</v>
      </c>
      <c r="Y107" s="48"/>
      <c r="Z107" s="48"/>
      <c r="AA107" s="48"/>
      <c r="AB107" s="48"/>
      <c r="AC107" s="48"/>
      <c r="AD107" s="48"/>
      <c r="AE107" s="48"/>
      <c r="AF107" s="48">
        <v>1000</v>
      </c>
      <c r="AG107" s="48"/>
      <c r="AH107" s="48"/>
      <c r="AI107" s="49"/>
    </row>
    <row r="108" spans="1:35" x14ac:dyDescent="0.25">
      <c r="A108" s="48">
        <v>7</v>
      </c>
      <c r="B108" s="166" t="s">
        <v>336</v>
      </c>
      <c r="C108" s="166" t="s">
        <v>335</v>
      </c>
      <c r="D108" s="150">
        <f t="shared" si="7"/>
        <v>52976</v>
      </c>
      <c r="E108" s="48">
        <v>2960</v>
      </c>
      <c r="F108" s="48"/>
      <c r="G108" s="35"/>
      <c r="H108" s="35"/>
      <c r="I108" s="35"/>
      <c r="J108" s="35"/>
      <c r="K108" s="35"/>
      <c r="L108" s="35"/>
      <c r="M108" s="48"/>
      <c r="N108" s="48"/>
      <c r="O108" s="48"/>
      <c r="P108" s="48"/>
      <c r="Q108" s="48"/>
      <c r="R108" s="40"/>
      <c r="S108" s="40"/>
      <c r="T108" s="40"/>
      <c r="U108" s="40"/>
      <c r="V108" s="48"/>
      <c r="W108" s="48"/>
      <c r="X108" s="48"/>
      <c r="Y108" s="48"/>
      <c r="Z108" s="48">
        <v>50016</v>
      </c>
      <c r="AA108" s="48"/>
      <c r="AB108" s="48"/>
      <c r="AC108" s="48"/>
      <c r="AD108" s="48"/>
      <c r="AE108" s="48"/>
      <c r="AF108" s="48"/>
      <c r="AG108" s="48"/>
      <c r="AH108" s="48"/>
      <c r="AI108" s="49"/>
    </row>
    <row r="109" spans="1:35" x14ac:dyDescent="0.25">
      <c r="A109" s="48">
        <v>8</v>
      </c>
      <c r="B109" s="166" t="s">
        <v>571</v>
      </c>
      <c r="C109" s="166" t="s">
        <v>570</v>
      </c>
      <c r="D109" s="150">
        <f t="shared" si="7"/>
        <v>62016</v>
      </c>
      <c r="E109" s="48">
        <v>62016</v>
      </c>
      <c r="F109" s="48"/>
      <c r="G109" s="35"/>
      <c r="H109" s="35"/>
      <c r="I109" s="35"/>
      <c r="J109" s="35"/>
      <c r="K109" s="35"/>
      <c r="L109" s="35"/>
      <c r="M109" s="48"/>
      <c r="N109" s="48"/>
      <c r="O109" s="48"/>
      <c r="P109" s="48"/>
      <c r="Q109" s="48"/>
      <c r="R109" s="40"/>
      <c r="S109" s="40"/>
      <c r="T109" s="40"/>
      <c r="U109" s="40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9"/>
    </row>
    <row r="110" spans="1:35" x14ac:dyDescent="0.25">
      <c r="A110" s="48">
        <v>9</v>
      </c>
      <c r="B110" s="166" t="s">
        <v>102</v>
      </c>
      <c r="C110" s="166" t="s">
        <v>688</v>
      </c>
      <c r="D110" s="150">
        <f t="shared" si="7"/>
        <v>0</v>
      </c>
      <c r="E110" s="48"/>
      <c r="F110" s="48"/>
      <c r="G110" s="35"/>
      <c r="H110" s="35"/>
      <c r="I110" s="35"/>
      <c r="J110" s="35"/>
      <c r="K110" s="35"/>
      <c r="L110" s="35"/>
      <c r="M110" s="48"/>
      <c r="N110" s="48"/>
      <c r="O110" s="48"/>
      <c r="P110" s="48"/>
      <c r="Q110" s="48"/>
      <c r="R110" s="40"/>
      <c r="S110" s="40"/>
      <c r="T110" s="40"/>
      <c r="U110" s="40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9"/>
    </row>
    <row r="111" spans="1:35" x14ac:dyDescent="0.25">
      <c r="A111" s="48">
        <v>10</v>
      </c>
      <c r="B111" s="176" t="s">
        <v>1126</v>
      </c>
      <c r="C111" s="176" t="s">
        <v>1125</v>
      </c>
      <c r="D111" s="150">
        <f t="shared" si="7"/>
        <v>96</v>
      </c>
      <c r="E111" s="48"/>
      <c r="F111" s="48"/>
      <c r="G111" s="35"/>
      <c r="H111" s="35"/>
      <c r="I111" s="35"/>
      <c r="J111" s="35"/>
      <c r="K111" s="35"/>
      <c r="L111" s="35"/>
      <c r="M111" s="48"/>
      <c r="N111" s="48"/>
      <c r="O111" s="48"/>
      <c r="P111" s="48"/>
      <c r="Q111" s="48"/>
      <c r="R111" s="40"/>
      <c r="S111" s="40"/>
      <c r="T111" s="40"/>
      <c r="U111" s="40"/>
      <c r="V111" s="48"/>
      <c r="W111" s="48"/>
      <c r="X111" s="48"/>
      <c r="Y111" s="48">
        <v>96</v>
      </c>
      <c r="Z111" s="48"/>
      <c r="AA111" s="48"/>
      <c r="AB111" s="48"/>
      <c r="AC111" s="48"/>
      <c r="AD111" s="48"/>
      <c r="AE111" s="48"/>
      <c r="AF111" s="48"/>
      <c r="AG111" s="48"/>
      <c r="AH111" s="48"/>
      <c r="AI111" s="49"/>
    </row>
    <row r="112" spans="1:35" x14ac:dyDescent="0.25">
      <c r="A112" s="48">
        <v>11</v>
      </c>
      <c r="B112" s="176" t="s">
        <v>1180</v>
      </c>
      <c r="C112" s="176" t="s">
        <v>1179</v>
      </c>
      <c r="D112" s="150">
        <f t="shared" si="7"/>
        <v>400</v>
      </c>
      <c r="E112" s="48"/>
      <c r="F112" s="48"/>
      <c r="G112" s="35"/>
      <c r="H112" s="35"/>
      <c r="I112" s="35"/>
      <c r="J112" s="35"/>
      <c r="K112" s="35"/>
      <c r="L112" s="35"/>
      <c r="M112" s="48"/>
      <c r="N112" s="48"/>
      <c r="O112" s="48"/>
      <c r="P112" s="48"/>
      <c r="Q112" s="48"/>
      <c r="R112" s="40"/>
      <c r="S112" s="40"/>
      <c r="T112" s="40"/>
      <c r="U112" s="40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>
        <v>400</v>
      </c>
      <c r="AG112" s="48"/>
      <c r="AH112" s="48"/>
      <c r="AI112" s="49"/>
    </row>
    <row r="113" spans="1:35" x14ac:dyDescent="0.25">
      <c r="A113" s="48">
        <v>12</v>
      </c>
      <c r="B113" s="166" t="s">
        <v>690</v>
      </c>
      <c r="C113" s="166" t="s">
        <v>689</v>
      </c>
      <c r="D113" s="150">
        <f t="shared" si="7"/>
        <v>0</v>
      </c>
      <c r="E113" s="48"/>
      <c r="F113" s="48"/>
      <c r="G113" s="35"/>
      <c r="H113" s="35"/>
      <c r="I113" s="35"/>
      <c r="J113" s="35"/>
      <c r="K113" s="35"/>
      <c r="L113" s="35"/>
      <c r="M113" s="48"/>
      <c r="N113" s="48"/>
      <c r="O113" s="48"/>
      <c r="P113" s="48"/>
      <c r="Q113" s="48"/>
      <c r="R113" s="40"/>
      <c r="S113" s="40"/>
      <c r="T113" s="40"/>
      <c r="U113" s="40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9"/>
    </row>
    <row r="114" spans="1:35" x14ac:dyDescent="0.25">
      <c r="A114" s="48">
        <v>13</v>
      </c>
      <c r="B114" s="166" t="s">
        <v>692</v>
      </c>
      <c r="C114" s="166" t="s">
        <v>691</v>
      </c>
      <c r="D114" s="150">
        <f t="shared" si="7"/>
        <v>0</v>
      </c>
      <c r="E114" s="48"/>
      <c r="F114" s="48"/>
      <c r="G114" s="35"/>
      <c r="H114" s="35"/>
      <c r="I114" s="35"/>
      <c r="J114" s="35"/>
      <c r="K114" s="35"/>
      <c r="L114" s="35"/>
      <c r="M114" s="48"/>
      <c r="N114" s="48"/>
      <c r="O114" s="48"/>
      <c r="P114" s="48"/>
      <c r="Q114" s="48"/>
      <c r="R114" s="40"/>
      <c r="S114" s="40"/>
      <c r="T114" s="40"/>
      <c r="U114" s="40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9"/>
    </row>
    <row r="115" spans="1:35" ht="15.75" x14ac:dyDescent="0.25">
      <c r="A115" s="48">
        <v>14</v>
      </c>
      <c r="B115" s="166" t="s">
        <v>461</v>
      </c>
      <c r="C115" s="155" t="s">
        <v>460</v>
      </c>
      <c r="D115" s="150">
        <f t="shared" si="7"/>
        <v>0</v>
      </c>
      <c r="E115" s="48"/>
      <c r="F115" s="48"/>
      <c r="G115" s="35"/>
      <c r="H115" s="35"/>
      <c r="I115" s="35"/>
      <c r="J115" s="35"/>
      <c r="K115" s="35"/>
      <c r="L115" s="35"/>
      <c r="M115" s="48"/>
      <c r="N115" s="48"/>
      <c r="O115" s="48"/>
      <c r="P115" s="48"/>
      <c r="Q115" s="48"/>
      <c r="R115" s="40"/>
      <c r="S115" s="40"/>
      <c r="T115" s="40"/>
      <c r="U115" s="40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9"/>
    </row>
    <row r="116" spans="1:35" x14ac:dyDescent="0.25">
      <c r="A116" s="48">
        <v>15</v>
      </c>
      <c r="B116" s="176" t="s">
        <v>1196</v>
      </c>
      <c r="C116" s="176" t="s">
        <v>1195</v>
      </c>
      <c r="D116" s="150">
        <f t="shared" si="7"/>
        <v>20000</v>
      </c>
      <c r="E116" s="48"/>
      <c r="F116" s="48"/>
      <c r="G116" s="35"/>
      <c r="H116" s="35"/>
      <c r="I116" s="35"/>
      <c r="J116" s="35"/>
      <c r="K116" s="35"/>
      <c r="L116" s="35"/>
      <c r="M116" s="48"/>
      <c r="N116" s="48"/>
      <c r="O116" s="48"/>
      <c r="P116" s="48"/>
      <c r="Q116" s="48"/>
      <c r="R116" s="40"/>
      <c r="S116" s="40"/>
      <c r="T116" s="40"/>
      <c r="U116" s="40"/>
      <c r="V116" s="48"/>
      <c r="W116" s="48"/>
      <c r="X116" s="48"/>
      <c r="Y116" s="48"/>
      <c r="Z116" s="48"/>
      <c r="AA116" s="48"/>
      <c r="AB116" s="48"/>
      <c r="AC116" s="48"/>
      <c r="AD116" s="48"/>
      <c r="AE116" s="48">
        <v>15984</v>
      </c>
      <c r="AF116" s="48">
        <v>4016</v>
      </c>
      <c r="AG116" s="48"/>
      <c r="AH116" s="48"/>
      <c r="AI116" s="49"/>
    </row>
    <row r="117" spans="1:35" x14ac:dyDescent="0.25">
      <c r="A117" s="48">
        <v>16</v>
      </c>
      <c r="B117" s="166" t="s">
        <v>443</v>
      </c>
      <c r="C117" s="166" t="s">
        <v>442</v>
      </c>
      <c r="D117" s="150">
        <f t="shared" si="7"/>
        <v>0</v>
      </c>
      <c r="E117" s="48"/>
      <c r="F117" s="48"/>
      <c r="G117" s="35"/>
      <c r="H117" s="35"/>
      <c r="I117" s="35"/>
      <c r="J117" s="35"/>
      <c r="K117" s="35"/>
      <c r="L117" s="35"/>
      <c r="M117" s="48"/>
      <c r="N117" s="48"/>
      <c r="O117" s="48"/>
      <c r="P117" s="48"/>
      <c r="Q117" s="48"/>
      <c r="R117" s="40"/>
      <c r="S117" s="40"/>
      <c r="T117" s="40"/>
      <c r="U117" s="40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9"/>
    </row>
    <row r="118" spans="1:35" x14ac:dyDescent="0.25">
      <c r="A118" s="48">
        <v>17</v>
      </c>
      <c r="B118" s="166" t="s">
        <v>281</v>
      </c>
      <c r="C118" s="166" t="s">
        <v>282</v>
      </c>
      <c r="D118" s="150">
        <f t="shared" si="7"/>
        <v>36000</v>
      </c>
      <c r="E118" s="48">
        <v>14000</v>
      </c>
      <c r="F118" s="48"/>
      <c r="G118" s="35"/>
      <c r="H118" s="35"/>
      <c r="I118" s="35"/>
      <c r="J118" s="35"/>
      <c r="K118" s="35"/>
      <c r="L118" s="35"/>
      <c r="M118" s="48"/>
      <c r="N118" s="48"/>
      <c r="O118" s="48"/>
      <c r="P118" s="48"/>
      <c r="Q118" s="48"/>
      <c r="R118" s="40"/>
      <c r="S118" s="40"/>
      <c r="T118" s="40"/>
      <c r="U118" s="40"/>
      <c r="V118" s="48">
        <v>20000</v>
      </c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>
        <v>2000</v>
      </c>
      <c r="AI118" s="49"/>
    </row>
    <row r="119" spans="1:35" x14ac:dyDescent="0.25">
      <c r="A119" s="48">
        <v>18</v>
      </c>
      <c r="B119" s="166" t="s">
        <v>465</v>
      </c>
      <c r="C119" s="166" t="s">
        <v>464</v>
      </c>
      <c r="D119" s="150">
        <f t="shared" si="7"/>
        <v>1416510</v>
      </c>
      <c r="E119" s="48">
        <v>18960</v>
      </c>
      <c r="F119" s="48"/>
      <c r="G119" s="48">
        <v>96000</v>
      </c>
      <c r="H119" s="35">
        <v>241536</v>
      </c>
      <c r="I119" s="35"/>
      <c r="J119" s="35">
        <v>30000</v>
      </c>
      <c r="K119" s="35"/>
      <c r="L119" s="35">
        <v>8832</v>
      </c>
      <c r="M119" s="48">
        <v>19968</v>
      </c>
      <c r="N119" s="48">
        <v>59376</v>
      </c>
      <c r="O119" s="48">
        <v>47856</v>
      </c>
      <c r="P119" s="48">
        <v>48576</v>
      </c>
      <c r="Q119" s="48">
        <v>2352</v>
      </c>
      <c r="R119" s="40"/>
      <c r="S119" s="40"/>
      <c r="T119" s="40"/>
      <c r="U119" s="40">
        <v>71472</v>
      </c>
      <c r="V119" s="48">
        <v>29904</v>
      </c>
      <c r="W119" s="48">
        <v>58416</v>
      </c>
      <c r="X119" s="48">
        <v>34704</v>
      </c>
      <c r="Y119" s="48">
        <v>64608</v>
      </c>
      <c r="Z119" s="48">
        <v>65328</v>
      </c>
      <c r="AA119" s="48">
        <v>28848</v>
      </c>
      <c r="AB119" s="48">
        <v>74160</v>
      </c>
      <c r="AC119" s="48">
        <v>58894</v>
      </c>
      <c r="AD119" s="48">
        <f>86730+3030</f>
        <v>89760</v>
      </c>
      <c r="AE119" s="48"/>
      <c r="AF119" s="48">
        <v>78768</v>
      </c>
      <c r="AG119" s="48">
        <v>31520</v>
      </c>
      <c r="AH119" s="48">
        <v>51840</v>
      </c>
      <c r="AI119" s="49">
        <v>104832</v>
      </c>
    </row>
    <row r="120" spans="1:35" x14ac:dyDescent="0.25">
      <c r="A120" s="48">
        <v>19</v>
      </c>
      <c r="B120" s="166" t="s">
        <v>804</v>
      </c>
      <c r="C120" s="166" t="s">
        <v>803</v>
      </c>
      <c r="D120" s="150">
        <f t="shared" si="7"/>
        <v>15000</v>
      </c>
      <c r="E120" s="48"/>
      <c r="F120" s="48"/>
      <c r="G120" s="35"/>
      <c r="H120" s="35"/>
      <c r="I120" s="35"/>
      <c r="J120" s="35"/>
      <c r="K120" s="35">
        <v>4992</v>
      </c>
      <c r="L120" s="35"/>
      <c r="M120" s="48"/>
      <c r="N120" s="48"/>
      <c r="O120" s="48"/>
      <c r="P120" s="48"/>
      <c r="Q120" s="48"/>
      <c r="R120" s="40"/>
      <c r="S120" s="40"/>
      <c r="T120" s="40"/>
      <c r="U120" s="40"/>
      <c r="V120" s="48"/>
      <c r="W120" s="48"/>
      <c r="X120" s="48"/>
      <c r="Y120" s="48"/>
      <c r="Z120" s="48"/>
      <c r="AA120" s="48">
        <v>10000</v>
      </c>
      <c r="AB120" s="48"/>
      <c r="AC120" s="48"/>
      <c r="AD120" s="48"/>
      <c r="AE120" s="48"/>
      <c r="AF120" s="48"/>
      <c r="AG120" s="48"/>
      <c r="AH120" s="48"/>
      <c r="AI120" s="49">
        <v>8</v>
      </c>
    </row>
    <row r="121" spans="1:35" x14ac:dyDescent="0.25">
      <c r="A121" s="48">
        <v>20</v>
      </c>
      <c r="B121" s="166" t="s">
        <v>272</v>
      </c>
      <c r="C121" s="166" t="s">
        <v>271</v>
      </c>
      <c r="D121" s="150">
        <f t="shared" si="7"/>
        <v>11520</v>
      </c>
      <c r="E121" s="48"/>
      <c r="F121" s="48"/>
      <c r="G121" s="35"/>
      <c r="H121" s="35"/>
      <c r="I121" s="35"/>
      <c r="J121" s="35"/>
      <c r="K121" s="35"/>
      <c r="L121" s="35"/>
      <c r="M121" s="48"/>
      <c r="N121" s="48"/>
      <c r="O121" s="48"/>
      <c r="P121" s="48">
        <v>11000</v>
      </c>
      <c r="Q121" s="48"/>
      <c r="R121" s="40"/>
      <c r="S121" s="40"/>
      <c r="T121" s="40"/>
      <c r="U121" s="40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9">
        <v>520</v>
      </c>
    </row>
    <row r="122" spans="1:35" x14ac:dyDescent="0.25">
      <c r="A122" s="48">
        <v>21</v>
      </c>
      <c r="B122" s="176" t="s">
        <v>1131</v>
      </c>
      <c r="C122" s="176" t="s">
        <v>1129</v>
      </c>
      <c r="D122" s="150">
        <f t="shared" si="7"/>
        <v>2000</v>
      </c>
      <c r="E122" s="48"/>
      <c r="F122" s="48"/>
      <c r="G122" s="35"/>
      <c r="H122" s="35"/>
      <c r="I122" s="35"/>
      <c r="J122" s="35"/>
      <c r="K122" s="35"/>
      <c r="L122" s="35"/>
      <c r="M122" s="48"/>
      <c r="N122" s="48"/>
      <c r="O122" s="48"/>
      <c r="P122" s="48"/>
      <c r="Q122" s="48"/>
      <c r="R122" s="40"/>
      <c r="S122" s="40"/>
      <c r="T122" s="40"/>
      <c r="U122" s="40"/>
      <c r="V122" s="48"/>
      <c r="W122" s="48"/>
      <c r="X122" s="48"/>
      <c r="Y122" s="48"/>
      <c r="Z122" s="48"/>
      <c r="AA122" s="48">
        <v>2000</v>
      </c>
      <c r="AB122" s="48"/>
      <c r="AC122" s="48"/>
      <c r="AD122" s="48"/>
      <c r="AE122" s="48"/>
      <c r="AF122" s="48"/>
      <c r="AG122" s="48"/>
      <c r="AH122" s="48"/>
      <c r="AI122" s="49"/>
    </row>
    <row r="123" spans="1:35" x14ac:dyDescent="0.25">
      <c r="A123" s="48">
        <v>22</v>
      </c>
      <c r="B123" s="176" t="s">
        <v>1132</v>
      </c>
      <c r="C123" s="176" t="s">
        <v>1130</v>
      </c>
      <c r="D123" s="150">
        <f t="shared" si="7"/>
        <v>5000</v>
      </c>
      <c r="E123" s="48"/>
      <c r="F123" s="48"/>
      <c r="G123" s="35"/>
      <c r="H123" s="35"/>
      <c r="I123" s="35"/>
      <c r="J123" s="35"/>
      <c r="K123" s="35"/>
      <c r="L123" s="35"/>
      <c r="M123" s="48"/>
      <c r="N123" s="48"/>
      <c r="O123" s="48"/>
      <c r="P123" s="48"/>
      <c r="Q123" s="48"/>
      <c r="R123" s="40"/>
      <c r="S123" s="40"/>
      <c r="T123" s="40"/>
      <c r="U123" s="40"/>
      <c r="V123" s="48"/>
      <c r="W123" s="48"/>
      <c r="X123" s="48"/>
      <c r="Y123" s="48"/>
      <c r="Z123" s="48"/>
      <c r="AA123" s="48"/>
      <c r="AB123" s="48"/>
      <c r="AC123" s="48"/>
      <c r="AD123" s="48">
        <v>3501</v>
      </c>
      <c r="AE123" s="48">
        <v>1499</v>
      </c>
      <c r="AF123" s="48"/>
      <c r="AG123" s="48"/>
      <c r="AH123" s="48"/>
      <c r="AI123" s="49"/>
    </row>
    <row r="124" spans="1:35" x14ac:dyDescent="0.25">
      <c r="A124" s="48">
        <v>23</v>
      </c>
      <c r="B124" s="166" t="s">
        <v>435</v>
      </c>
      <c r="C124" s="166" t="s">
        <v>434</v>
      </c>
      <c r="D124" s="150">
        <f t="shared" si="7"/>
        <v>43624</v>
      </c>
      <c r="E124" s="48"/>
      <c r="F124" s="48"/>
      <c r="G124" s="35"/>
      <c r="H124" s="35"/>
      <c r="I124" s="35"/>
      <c r="J124" s="35"/>
      <c r="K124" s="35"/>
      <c r="L124" s="35"/>
      <c r="M124" s="48"/>
      <c r="N124" s="48"/>
      <c r="O124" s="48">
        <v>5032</v>
      </c>
      <c r="P124" s="48">
        <v>9468</v>
      </c>
      <c r="Q124" s="48"/>
      <c r="R124" s="40"/>
      <c r="S124" s="40"/>
      <c r="T124" s="40"/>
      <c r="U124" s="40"/>
      <c r="V124" s="48"/>
      <c r="W124" s="48"/>
      <c r="X124" s="48">
        <v>9108</v>
      </c>
      <c r="Y124" s="48"/>
      <c r="Z124" s="48"/>
      <c r="AA124" s="48"/>
      <c r="AB124" s="48"/>
      <c r="AC124" s="48"/>
      <c r="AD124" s="48"/>
      <c r="AE124" s="48"/>
      <c r="AF124" s="48"/>
      <c r="AG124" s="48"/>
      <c r="AH124" s="48">
        <v>20016</v>
      </c>
      <c r="AI124" s="49"/>
    </row>
    <row r="125" spans="1:35" x14ac:dyDescent="0.25">
      <c r="A125" s="48">
        <v>24</v>
      </c>
      <c r="B125" s="166" t="s">
        <v>240</v>
      </c>
      <c r="C125" s="166" t="s">
        <v>239</v>
      </c>
      <c r="D125" s="150">
        <f t="shared" si="7"/>
        <v>11000</v>
      </c>
      <c r="E125" s="48">
        <v>1000</v>
      </c>
      <c r="F125" s="48"/>
      <c r="G125" s="35"/>
      <c r="H125" s="35"/>
      <c r="I125" s="35"/>
      <c r="J125" s="35"/>
      <c r="K125" s="35"/>
      <c r="L125" s="35"/>
      <c r="M125" s="48"/>
      <c r="N125" s="48"/>
      <c r="O125" s="48">
        <v>10000</v>
      </c>
      <c r="P125" s="48"/>
      <c r="Q125" s="48"/>
      <c r="R125" s="40"/>
      <c r="S125" s="40"/>
      <c r="T125" s="40"/>
      <c r="U125" s="40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9"/>
    </row>
    <row r="126" spans="1:35" x14ac:dyDescent="0.25">
      <c r="A126" s="48">
        <v>25</v>
      </c>
      <c r="B126" s="166" t="s">
        <v>148</v>
      </c>
      <c r="C126" s="166" t="s">
        <v>110</v>
      </c>
      <c r="D126" s="150">
        <f t="shared" si="7"/>
        <v>5000</v>
      </c>
      <c r="E126" s="48"/>
      <c r="F126" s="48"/>
      <c r="G126" s="35"/>
      <c r="H126" s="35"/>
      <c r="I126" s="35"/>
      <c r="J126" s="35"/>
      <c r="K126" s="35"/>
      <c r="L126" s="35"/>
      <c r="M126" s="48"/>
      <c r="N126" s="48"/>
      <c r="O126" s="48"/>
      <c r="P126" s="48"/>
      <c r="Q126" s="48"/>
      <c r="R126" s="40"/>
      <c r="S126" s="40"/>
      <c r="T126" s="40"/>
      <c r="U126" s="40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>
        <v>5000</v>
      </c>
      <c r="AG126" s="48"/>
      <c r="AH126" s="48"/>
      <c r="AI126" s="49"/>
    </row>
    <row r="127" spans="1:35" x14ac:dyDescent="0.25">
      <c r="A127" s="48">
        <v>26</v>
      </c>
      <c r="B127" s="166" t="s">
        <v>303</v>
      </c>
      <c r="C127" s="166" t="s">
        <v>302</v>
      </c>
      <c r="D127" s="150">
        <f t="shared" si="7"/>
        <v>0</v>
      </c>
      <c r="E127" s="48"/>
      <c r="F127" s="48"/>
      <c r="G127" s="35"/>
      <c r="H127" s="35"/>
      <c r="I127" s="35"/>
      <c r="J127" s="35"/>
      <c r="K127" s="35"/>
      <c r="L127" s="35"/>
      <c r="M127" s="48"/>
      <c r="N127" s="48"/>
      <c r="O127" s="48"/>
      <c r="P127" s="48"/>
      <c r="Q127" s="48"/>
      <c r="R127" s="40"/>
      <c r="S127" s="40"/>
      <c r="T127" s="40"/>
      <c r="U127" s="40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9"/>
    </row>
    <row r="128" spans="1:35" x14ac:dyDescent="0.25">
      <c r="A128" s="48">
        <v>27</v>
      </c>
      <c r="B128" s="166" t="s">
        <v>149</v>
      </c>
      <c r="C128" s="166" t="s">
        <v>111</v>
      </c>
      <c r="D128" s="150">
        <f t="shared" si="7"/>
        <v>0</v>
      </c>
      <c r="E128" s="48"/>
      <c r="F128" s="48"/>
      <c r="G128" s="35"/>
      <c r="H128" s="35"/>
      <c r="I128" s="35"/>
      <c r="J128" s="35"/>
      <c r="K128" s="35"/>
      <c r="L128" s="35"/>
      <c r="M128" s="48"/>
      <c r="N128" s="48"/>
      <c r="O128" s="48"/>
      <c r="P128" s="48"/>
      <c r="Q128" s="48"/>
      <c r="R128" s="40"/>
      <c r="S128" s="40"/>
      <c r="T128" s="40"/>
      <c r="U128" s="40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9"/>
    </row>
    <row r="129" spans="1:35" x14ac:dyDescent="0.25">
      <c r="A129" s="48">
        <v>28</v>
      </c>
      <c r="B129" s="166" t="s">
        <v>822</v>
      </c>
      <c r="C129" s="166" t="s">
        <v>821</v>
      </c>
      <c r="D129" s="150">
        <f t="shared" si="7"/>
        <v>5000</v>
      </c>
      <c r="E129" s="48"/>
      <c r="F129" s="48"/>
      <c r="G129" s="35"/>
      <c r="H129" s="35"/>
      <c r="I129" s="35"/>
      <c r="J129" s="35"/>
      <c r="K129" s="35"/>
      <c r="L129" s="35"/>
      <c r="M129" s="48"/>
      <c r="N129" s="48"/>
      <c r="O129" s="48">
        <v>4944</v>
      </c>
      <c r="P129" s="48"/>
      <c r="Q129" s="48"/>
      <c r="R129" s="40"/>
      <c r="S129" s="40"/>
      <c r="T129" s="40"/>
      <c r="U129" s="40"/>
      <c r="V129" s="48">
        <v>56</v>
      </c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9"/>
    </row>
    <row r="130" spans="1:35" x14ac:dyDescent="0.25">
      <c r="A130" s="48">
        <v>29</v>
      </c>
      <c r="B130" s="166" t="s">
        <v>150</v>
      </c>
      <c r="C130" s="166" t="s">
        <v>112</v>
      </c>
      <c r="D130" s="150">
        <f t="shared" si="7"/>
        <v>11900</v>
      </c>
      <c r="E130" s="48"/>
      <c r="F130" s="48"/>
      <c r="G130" s="35"/>
      <c r="H130" s="35"/>
      <c r="I130" s="35"/>
      <c r="J130" s="35"/>
      <c r="K130" s="35"/>
      <c r="L130" s="35"/>
      <c r="M130" s="48"/>
      <c r="N130" s="48"/>
      <c r="O130" s="48"/>
      <c r="P130" s="48"/>
      <c r="Q130" s="48"/>
      <c r="R130" s="40"/>
      <c r="S130" s="40"/>
      <c r="T130" s="40"/>
      <c r="U130" s="40"/>
      <c r="V130" s="48"/>
      <c r="W130" s="48"/>
      <c r="X130" s="48">
        <v>8000</v>
      </c>
      <c r="Y130" s="48">
        <v>3900</v>
      </c>
      <c r="Z130" s="48"/>
      <c r="AA130" s="48"/>
      <c r="AB130" s="48"/>
      <c r="AC130" s="48"/>
      <c r="AD130" s="48"/>
      <c r="AE130" s="48"/>
      <c r="AF130" s="48"/>
      <c r="AG130" s="48"/>
      <c r="AH130" s="48"/>
      <c r="AI130" s="49"/>
    </row>
    <row r="131" spans="1:35" x14ac:dyDescent="0.25">
      <c r="A131" s="48">
        <v>30</v>
      </c>
      <c r="B131" s="166" t="s">
        <v>228</v>
      </c>
      <c r="C131" s="166" t="s">
        <v>227</v>
      </c>
      <c r="D131" s="150">
        <f t="shared" si="7"/>
        <v>22976</v>
      </c>
      <c r="E131" s="48">
        <v>8000</v>
      </c>
      <c r="F131" s="48"/>
      <c r="G131" s="35"/>
      <c r="H131" s="35"/>
      <c r="I131" s="35"/>
      <c r="J131" s="35"/>
      <c r="K131" s="35"/>
      <c r="L131" s="35"/>
      <c r="M131" s="48"/>
      <c r="N131" s="48"/>
      <c r="O131" s="48">
        <v>14976</v>
      </c>
      <c r="P131" s="48"/>
      <c r="Q131" s="48"/>
      <c r="R131" s="40"/>
      <c r="S131" s="40"/>
      <c r="T131" s="40"/>
      <c r="U131" s="40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9"/>
    </row>
    <row r="132" spans="1:35" x14ac:dyDescent="0.25">
      <c r="A132" s="48">
        <v>31</v>
      </c>
      <c r="B132" s="166" t="s">
        <v>248</v>
      </c>
      <c r="C132" s="166" t="s">
        <v>247</v>
      </c>
      <c r="D132" s="150">
        <f t="shared" si="7"/>
        <v>60433</v>
      </c>
      <c r="E132" s="48"/>
      <c r="F132" s="48"/>
      <c r="G132" s="35"/>
      <c r="H132" s="35"/>
      <c r="I132" s="35"/>
      <c r="J132" s="35"/>
      <c r="K132" s="35"/>
      <c r="L132" s="35">
        <v>10008</v>
      </c>
      <c r="M132" s="48">
        <v>7500</v>
      </c>
      <c r="N132" s="48"/>
      <c r="O132" s="48">
        <v>2490</v>
      </c>
      <c r="P132" s="48"/>
      <c r="Q132" s="48"/>
      <c r="R132" s="40"/>
      <c r="S132" s="40"/>
      <c r="T132" s="40"/>
      <c r="U132" s="40"/>
      <c r="V132" s="48"/>
      <c r="W132" s="48"/>
      <c r="X132" s="48">
        <v>4920</v>
      </c>
      <c r="Y132" s="48">
        <v>13011</v>
      </c>
      <c r="Z132" s="48">
        <v>1830</v>
      </c>
      <c r="AA132" s="48"/>
      <c r="AB132" s="48">
        <v>5164</v>
      </c>
      <c r="AC132" s="48">
        <v>5000</v>
      </c>
      <c r="AD132" s="48"/>
      <c r="AE132" s="48">
        <v>5010</v>
      </c>
      <c r="AF132" s="48">
        <v>5500</v>
      </c>
      <c r="AG132" s="48"/>
      <c r="AH132" s="48"/>
      <c r="AI132" s="49"/>
    </row>
    <row r="133" spans="1:35" x14ac:dyDescent="0.25">
      <c r="A133" s="48">
        <v>32</v>
      </c>
      <c r="B133" s="166" t="s">
        <v>694</v>
      </c>
      <c r="C133" s="166" t="s">
        <v>693</v>
      </c>
      <c r="D133" s="150">
        <f t="shared" si="7"/>
        <v>1600</v>
      </c>
      <c r="E133" s="48"/>
      <c r="F133" s="48"/>
      <c r="G133" s="35"/>
      <c r="H133" s="35"/>
      <c r="I133" s="35"/>
      <c r="J133" s="35"/>
      <c r="K133" s="35"/>
      <c r="L133" s="35"/>
      <c r="M133" s="48"/>
      <c r="N133" s="48"/>
      <c r="O133" s="48"/>
      <c r="P133" s="48"/>
      <c r="Q133" s="48"/>
      <c r="R133" s="40"/>
      <c r="S133" s="40"/>
      <c r="T133" s="40"/>
      <c r="U133" s="40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>
        <v>1600</v>
      </c>
      <c r="AG133" s="48"/>
      <c r="AH133" s="48"/>
      <c r="AI133" s="49"/>
    </row>
    <row r="134" spans="1:35" x14ac:dyDescent="0.25">
      <c r="A134" s="48">
        <v>33</v>
      </c>
      <c r="B134" s="166" t="s">
        <v>102</v>
      </c>
      <c r="C134" s="166" t="s">
        <v>354</v>
      </c>
      <c r="D134" s="150">
        <f t="shared" si="7"/>
        <v>300128</v>
      </c>
      <c r="E134" s="48"/>
      <c r="F134" s="48"/>
      <c r="G134" s="35"/>
      <c r="H134" s="35"/>
      <c r="I134" s="35"/>
      <c r="J134" s="35"/>
      <c r="K134" s="35">
        <v>45150</v>
      </c>
      <c r="L134" s="35">
        <v>70128</v>
      </c>
      <c r="M134" s="48">
        <v>29424</v>
      </c>
      <c r="N134" s="48">
        <v>52560</v>
      </c>
      <c r="O134" s="48">
        <v>2850</v>
      </c>
      <c r="P134" s="48"/>
      <c r="Q134" s="48"/>
      <c r="R134" s="40"/>
      <c r="S134" s="40"/>
      <c r="T134" s="40"/>
      <c r="U134" s="40"/>
      <c r="V134" s="48"/>
      <c r="W134" s="48"/>
      <c r="X134" s="48"/>
      <c r="Y134" s="48"/>
      <c r="Z134" s="48"/>
      <c r="AA134" s="48"/>
      <c r="AB134" s="48"/>
      <c r="AC134" s="48"/>
      <c r="AD134" s="48"/>
      <c r="AE134" s="48">
        <v>30000</v>
      </c>
      <c r="AF134" s="48">
        <v>30000</v>
      </c>
      <c r="AG134" s="48"/>
      <c r="AH134" s="48">
        <v>20016</v>
      </c>
      <c r="AI134" s="49">
        <v>20000</v>
      </c>
    </row>
    <row r="135" spans="1:35" x14ac:dyDescent="0.25">
      <c r="A135" s="48">
        <v>34</v>
      </c>
      <c r="B135" s="166" t="s">
        <v>467</v>
      </c>
      <c r="C135" s="166" t="s">
        <v>466</v>
      </c>
      <c r="D135" s="150">
        <f t="shared" si="7"/>
        <v>15000</v>
      </c>
      <c r="E135" s="48"/>
      <c r="F135" s="48"/>
      <c r="G135" s="35"/>
      <c r="H135" s="35"/>
      <c r="I135" s="35"/>
      <c r="J135" s="35"/>
      <c r="K135" s="35"/>
      <c r="L135" s="35"/>
      <c r="M135" s="48"/>
      <c r="N135" s="48"/>
      <c r="O135" s="48"/>
      <c r="P135" s="48"/>
      <c r="Q135" s="48"/>
      <c r="R135" s="40"/>
      <c r="S135" s="40"/>
      <c r="T135" s="40"/>
      <c r="U135" s="40"/>
      <c r="V135" s="48"/>
      <c r="W135" s="48"/>
      <c r="X135" s="48"/>
      <c r="Y135" s="48"/>
      <c r="Z135" s="48"/>
      <c r="AA135" s="48"/>
      <c r="AB135" s="48"/>
      <c r="AC135" s="48">
        <v>15000</v>
      </c>
      <c r="AD135" s="48"/>
      <c r="AE135" s="48"/>
      <c r="AF135" s="48"/>
      <c r="AG135" s="48"/>
      <c r="AH135" s="48"/>
      <c r="AI135" s="49"/>
    </row>
    <row r="136" spans="1:35" x14ac:dyDescent="0.25">
      <c r="A136" s="48">
        <v>35</v>
      </c>
      <c r="B136" s="166" t="s">
        <v>274</v>
      </c>
      <c r="C136" s="166" t="s">
        <v>273</v>
      </c>
      <c r="D136" s="150">
        <f t="shared" si="7"/>
        <v>200000</v>
      </c>
      <c r="E136" s="48"/>
      <c r="F136" s="48"/>
      <c r="G136" s="35"/>
      <c r="H136" s="35"/>
      <c r="I136" s="35"/>
      <c r="J136" s="35"/>
      <c r="K136" s="35">
        <v>24992</v>
      </c>
      <c r="L136" s="35">
        <v>25008</v>
      </c>
      <c r="M136" s="48"/>
      <c r="N136" s="48"/>
      <c r="O136" s="48">
        <v>8112</v>
      </c>
      <c r="P136" s="48"/>
      <c r="Q136" s="48">
        <v>19920</v>
      </c>
      <c r="R136" s="40"/>
      <c r="S136" s="40"/>
      <c r="T136" s="40"/>
      <c r="U136" s="40">
        <v>8064</v>
      </c>
      <c r="V136" s="48">
        <v>3888</v>
      </c>
      <c r="W136" s="48">
        <v>25000</v>
      </c>
      <c r="X136" s="48"/>
      <c r="Y136" s="48"/>
      <c r="Z136" s="48">
        <v>25008</v>
      </c>
      <c r="AA136" s="48"/>
      <c r="AB136" s="48"/>
      <c r="AC136" s="48">
        <v>16800</v>
      </c>
      <c r="AD136" s="48">
        <v>3216</v>
      </c>
      <c r="AE136" s="48">
        <v>9992</v>
      </c>
      <c r="AF136" s="48"/>
      <c r="AG136" s="48">
        <v>30000</v>
      </c>
      <c r="AH136" s="48"/>
      <c r="AI136" s="49"/>
    </row>
    <row r="137" spans="1:35" x14ac:dyDescent="0.25">
      <c r="A137" s="48">
        <v>36</v>
      </c>
      <c r="B137" s="166" t="s">
        <v>764</v>
      </c>
      <c r="C137" s="166" t="s">
        <v>763</v>
      </c>
      <c r="D137" s="150">
        <f t="shared" si="7"/>
        <v>50000</v>
      </c>
      <c r="E137" s="48">
        <v>5000</v>
      </c>
      <c r="F137" s="48"/>
      <c r="G137" s="35"/>
      <c r="H137" s="35"/>
      <c r="I137" s="35"/>
      <c r="J137" s="35"/>
      <c r="K137" s="35"/>
      <c r="L137" s="35"/>
      <c r="M137" s="48"/>
      <c r="N137" s="48"/>
      <c r="O137" s="48">
        <v>20000</v>
      </c>
      <c r="P137" s="48"/>
      <c r="Q137" s="48"/>
      <c r="R137" s="40"/>
      <c r="S137" s="40"/>
      <c r="T137" s="40"/>
      <c r="U137" s="40"/>
      <c r="V137" s="48"/>
      <c r="W137" s="48"/>
      <c r="X137" s="48">
        <v>9984</v>
      </c>
      <c r="Y137" s="48"/>
      <c r="Z137" s="48"/>
      <c r="AA137" s="48"/>
      <c r="AB137" s="48"/>
      <c r="AC137" s="48"/>
      <c r="AD137" s="48"/>
      <c r="AE137" s="48"/>
      <c r="AF137" s="48">
        <v>15016</v>
      </c>
      <c r="AG137" s="48"/>
      <c r="AH137" s="48"/>
      <c r="AI137" s="49"/>
    </row>
    <row r="138" spans="1:35" x14ac:dyDescent="0.25">
      <c r="A138" s="48">
        <v>37</v>
      </c>
      <c r="B138" s="166" t="s">
        <v>151</v>
      </c>
      <c r="C138" s="166" t="s">
        <v>96</v>
      </c>
      <c r="D138" s="150">
        <f t="shared" si="7"/>
        <v>65000</v>
      </c>
      <c r="E138" s="48"/>
      <c r="F138" s="48"/>
      <c r="G138" s="35"/>
      <c r="H138" s="35"/>
      <c r="I138" s="35"/>
      <c r="J138" s="35"/>
      <c r="K138" s="35"/>
      <c r="L138" s="35"/>
      <c r="M138" s="48"/>
      <c r="N138" s="48"/>
      <c r="O138" s="48"/>
      <c r="P138" s="48"/>
      <c r="Q138" s="48"/>
      <c r="R138" s="40"/>
      <c r="S138" s="40"/>
      <c r="T138" s="40"/>
      <c r="U138" s="40"/>
      <c r="V138" s="48"/>
      <c r="W138" s="48"/>
      <c r="X138" s="48">
        <v>9984</v>
      </c>
      <c r="Y138" s="48">
        <v>15024</v>
      </c>
      <c r="Z138" s="48"/>
      <c r="AA138" s="48">
        <v>20000</v>
      </c>
      <c r="AB138" s="48"/>
      <c r="AC138" s="48">
        <v>19992</v>
      </c>
      <c r="AD138" s="48"/>
      <c r="AE138" s="48"/>
      <c r="AF138" s="48"/>
      <c r="AG138" s="48"/>
      <c r="AH138" s="48"/>
      <c r="AI138" s="49"/>
    </row>
    <row r="139" spans="1:35" x14ac:dyDescent="0.25">
      <c r="A139" s="48">
        <v>38</v>
      </c>
      <c r="B139" s="166" t="s">
        <v>758</v>
      </c>
      <c r="C139" s="166" t="s">
        <v>757</v>
      </c>
      <c r="D139" s="150">
        <f t="shared" si="7"/>
        <v>2000</v>
      </c>
      <c r="E139" s="48"/>
      <c r="F139" s="48"/>
      <c r="G139" s="35"/>
      <c r="H139" s="35"/>
      <c r="I139" s="35"/>
      <c r="J139" s="35"/>
      <c r="K139" s="35"/>
      <c r="L139" s="35"/>
      <c r="M139" s="48"/>
      <c r="N139" s="48"/>
      <c r="O139" s="48"/>
      <c r="P139" s="48"/>
      <c r="Q139" s="48"/>
      <c r="R139" s="40"/>
      <c r="S139" s="40"/>
      <c r="T139" s="40"/>
      <c r="U139" s="40"/>
      <c r="V139" s="48">
        <v>2000</v>
      </c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9"/>
    </row>
    <row r="140" spans="1:35" x14ac:dyDescent="0.25">
      <c r="A140" s="48">
        <v>39</v>
      </c>
      <c r="B140" s="176" t="s">
        <v>1216</v>
      </c>
      <c r="C140" s="176" t="s">
        <v>1215</v>
      </c>
      <c r="D140" s="150">
        <f t="shared" si="7"/>
        <v>10000</v>
      </c>
      <c r="E140" s="48"/>
      <c r="F140" s="48"/>
      <c r="G140" s="35"/>
      <c r="H140" s="35"/>
      <c r="I140" s="35"/>
      <c r="J140" s="35"/>
      <c r="K140" s="35"/>
      <c r="L140" s="35"/>
      <c r="M140" s="48"/>
      <c r="N140" s="48"/>
      <c r="O140" s="48"/>
      <c r="P140" s="48"/>
      <c r="Q140" s="48"/>
      <c r="R140" s="40"/>
      <c r="S140" s="40"/>
      <c r="T140" s="40"/>
      <c r="U140" s="40"/>
      <c r="V140" s="48"/>
      <c r="W140" s="48"/>
      <c r="X140" s="48"/>
      <c r="Y140" s="48"/>
      <c r="Z140" s="48"/>
      <c r="AA140" s="48"/>
      <c r="AB140" s="48"/>
      <c r="AC140" s="48"/>
      <c r="AD140" s="48"/>
      <c r="AE140" s="48">
        <v>1500</v>
      </c>
      <c r="AF140" s="48">
        <v>8500</v>
      </c>
      <c r="AG140" s="48"/>
      <c r="AH140" s="48"/>
      <c r="AI140" s="49"/>
    </row>
    <row r="141" spans="1:35" x14ac:dyDescent="0.25">
      <c r="A141" s="48">
        <v>40</v>
      </c>
      <c r="B141" s="166" t="s">
        <v>813</v>
      </c>
      <c r="C141" s="166" t="s">
        <v>811</v>
      </c>
      <c r="D141" s="150">
        <f t="shared" si="7"/>
        <v>10000</v>
      </c>
      <c r="E141" s="48"/>
      <c r="F141" s="48"/>
      <c r="G141" s="35"/>
      <c r="H141" s="35"/>
      <c r="I141" s="35"/>
      <c r="J141" s="35"/>
      <c r="K141" s="35"/>
      <c r="L141" s="35"/>
      <c r="M141" s="48"/>
      <c r="N141" s="48"/>
      <c r="O141" s="48"/>
      <c r="P141" s="48"/>
      <c r="Q141" s="48"/>
      <c r="R141" s="40"/>
      <c r="S141" s="40"/>
      <c r="T141" s="40"/>
      <c r="U141" s="40"/>
      <c r="V141" s="48"/>
      <c r="W141" s="48"/>
      <c r="X141" s="48"/>
      <c r="Y141" s="48"/>
      <c r="Z141" s="48"/>
      <c r="AA141" s="48">
        <v>4992</v>
      </c>
      <c r="AB141" s="48"/>
      <c r="AC141" s="48"/>
      <c r="AD141" s="48"/>
      <c r="AE141" s="48"/>
      <c r="AF141" s="48"/>
      <c r="AG141" s="48"/>
      <c r="AH141" s="48"/>
      <c r="AI141" s="49">
        <v>5008</v>
      </c>
    </row>
    <row r="142" spans="1:35" x14ac:dyDescent="0.25">
      <c r="A142" s="48">
        <v>41</v>
      </c>
      <c r="B142" s="166" t="s">
        <v>813</v>
      </c>
      <c r="C142" s="166" t="s">
        <v>812</v>
      </c>
      <c r="D142" s="150">
        <f t="shared" si="7"/>
        <v>12000</v>
      </c>
      <c r="E142" s="48">
        <v>12000</v>
      </c>
      <c r="F142" s="48"/>
      <c r="G142" s="35"/>
      <c r="H142" s="35"/>
      <c r="I142" s="35"/>
      <c r="J142" s="35"/>
      <c r="K142" s="35"/>
      <c r="L142" s="35"/>
      <c r="M142" s="48"/>
      <c r="N142" s="48"/>
      <c r="O142" s="48"/>
      <c r="P142" s="48"/>
      <c r="Q142" s="48"/>
      <c r="R142" s="40"/>
      <c r="S142" s="40"/>
      <c r="T142" s="40"/>
      <c r="U142" s="40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9"/>
    </row>
    <row r="143" spans="1:35" x14ac:dyDescent="0.25">
      <c r="A143" s="48">
        <v>42</v>
      </c>
      <c r="B143" s="166" t="s">
        <v>264</v>
      </c>
      <c r="C143" s="166" t="s">
        <v>263</v>
      </c>
      <c r="D143" s="150">
        <f t="shared" si="7"/>
        <v>0</v>
      </c>
      <c r="E143" s="48"/>
      <c r="F143" s="48"/>
      <c r="G143" s="35"/>
      <c r="H143" s="35"/>
      <c r="I143" s="35"/>
      <c r="J143" s="35"/>
      <c r="K143" s="35"/>
      <c r="L143" s="35"/>
      <c r="M143" s="48"/>
      <c r="N143" s="48"/>
      <c r="O143" s="48"/>
      <c r="P143" s="48"/>
      <c r="Q143" s="48"/>
      <c r="R143" s="40"/>
      <c r="S143" s="40"/>
      <c r="T143" s="40"/>
      <c r="U143" s="40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9"/>
    </row>
    <row r="144" spans="1:35" x14ac:dyDescent="0.25">
      <c r="A144" s="141" t="s">
        <v>140</v>
      </c>
      <c r="B144" s="33" t="s">
        <v>123</v>
      </c>
      <c r="C144" s="141" t="s">
        <v>141</v>
      </c>
      <c r="D144" s="145">
        <f t="shared" ref="D144:AI144" si="8">SUM(D145:D302)</f>
        <v>424638</v>
      </c>
      <c r="E144" s="145">
        <f t="shared" si="8"/>
        <v>720</v>
      </c>
      <c r="F144" s="145">
        <f t="shared" si="8"/>
        <v>0</v>
      </c>
      <c r="G144" s="145">
        <f t="shared" si="8"/>
        <v>19844</v>
      </c>
      <c r="H144" s="145">
        <f t="shared" si="8"/>
        <v>29799</v>
      </c>
      <c r="I144" s="145">
        <f t="shared" si="8"/>
        <v>7760</v>
      </c>
      <c r="J144" s="145">
        <f t="shared" si="8"/>
        <v>7400</v>
      </c>
      <c r="K144" s="145">
        <f t="shared" si="8"/>
        <v>11788</v>
      </c>
      <c r="L144" s="145">
        <f t="shared" si="8"/>
        <v>3344</v>
      </c>
      <c r="M144" s="145">
        <f t="shared" si="8"/>
        <v>20586</v>
      </c>
      <c r="N144" s="145">
        <f t="shared" si="8"/>
        <v>12197</v>
      </c>
      <c r="O144" s="145">
        <f t="shared" si="8"/>
        <v>12734</v>
      </c>
      <c r="P144" s="145">
        <f t="shared" si="8"/>
        <v>19200</v>
      </c>
      <c r="Q144" s="145">
        <f t="shared" si="8"/>
        <v>3696</v>
      </c>
      <c r="R144" s="145">
        <f t="shared" si="8"/>
        <v>0</v>
      </c>
      <c r="S144" s="145">
        <f t="shared" si="8"/>
        <v>0</v>
      </c>
      <c r="T144" s="145">
        <f t="shared" si="8"/>
        <v>0</v>
      </c>
      <c r="U144" s="145">
        <f t="shared" si="8"/>
        <v>7758</v>
      </c>
      <c r="V144" s="145">
        <f t="shared" si="8"/>
        <v>27180</v>
      </c>
      <c r="W144" s="145">
        <f t="shared" si="8"/>
        <v>27580</v>
      </c>
      <c r="X144" s="145">
        <f t="shared" si="8"/>
        <v>7032</v>
      </c>
      <c r="Y144" s="145">
        <f t="shared" si="8"/>
        <v>26099</v>
      </c>
      <c r="Z144" s="145">
        <f t="shared" si="8"/>
        <v>7000</v>
      </c>
      <c r="AA144" s="145">
        <f t="shared" si="8"/>
        <v>19910</v>
      </c>
      <c r="AB144" s="145">
        <f t="shared" si="8"/>
        <v>27865</v>
      </c>
      <c r="AC144" s="145">
        <f t="shared" si="8"/>
        <v>1387</v>
      </c>
      <c r="AD144" s="145">
        <f t="shared" si="8"/>
        <v>19428</v>
      </c>
      <c r="AE144" s="145">
        <f t="shared" si="8"/>
        <v>4397</v>
      </c>
      <c r="AF144" s="145">
        <f t="shared" si="8"/>
        <v>16399</v>
      </c>
      <c r="AG144" s="145">
        <f t="shared" si="8"/>
        <v>16909</v>
      </c>
      <c r="AH144" s="145">
        <f t="shared" si="8"/>
        <v>14794</v>
      </c>
      <c r="AI144" s="145">
        <f t="shared" si="8"/>
        <v>51832</v>
      </c>
    </row>
    <row r="145" spans="1:35" x14ac:dyDescent="0.25">
      <c r="A145" s="48">
        <v>1</v>
      </c>
      <c r="B145" s="166" t="s">
        <v>547</v>
      </c>
      <c r="C145" s="166" t="s">
        <v>546</v>
      </c>
      <c r="D145" s="150">
        <f t="shared" ref="D145:D176" si="9">SUM(E145:AI145)</f>
        <v>400</v>
      </c>
      <c r="E145" s="48"/>
      <c r="F145" s="48"/>
      <c r="G145" s="35"/>
      <c r="H145" s="35"/>
      <c r="I145" s="35"/>
      <c r="J145" s="35"/>
      <c r="K145" s="35"/>
      <c r="L145" s="35"/>
      <c r="M145" s="48"/>
      <c r="N145" s="48">
        <v>400</v>
      </c>
      <c r="O145" s="48"/>
      <c r="P145" s="48"/>
      <c r="Q145" s="48"/>
      <c r="R145" s="40"/>
      <c r="S145" s="40"/>
      <c r="T145" s="40"/>
      <c r="U145" s="40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9"/>
    </row>
    <row r="146" spans="1:35" x14ac:dyDescent="0.25">
      <c r="A146" s="48">
        <v>2</v>
      </c>
      <c r="B146" s="166" t="s">
        <v>863</v>
      </c>
      <c r="C146" s="166" t="s">
        <v>862</v>
      </c>
      <c r="D146" s="150">
        <f t="shared" si="9"/>
        <v>0</v>
      </c>
      <c r="E146" s="48"/>
      <c r="F146" s="48"/>
      <c r="G146" s="35"/>
      <c r="H146" s="35"/>
      <c r="I146" s="35"/>
      <c r="J146" s="35"/>
      <c r="K146" s="35"/>
      <c r="L146" s="35"/>
      <c r="M146" s="48"/>
      <c r="N146" s="48"/>
      <c r="O146" s="48"/>
      <c r="P146" s="48"/>
      <c r="Q146" s="48"/>
      <c r="R146" s="40"/>
      <c r="S146" s="40"/>
      <c r="T146" s="40"/>
      <c r="U146" s="40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9"/>
    </row>
    <row r="147" spans="1:35" x14ac:dyDescent="0.25">
      <c r="A147" s="48">
        <v>3</v>
      </c>
      <c r="B147" s="166" t="s">
        <v>557</v>
      </c>
      <c r="C147" s="166" t="s">
        <v>556</v>
      </c>
      <c r="D147" s="150">
        <f t="shared" si="9"/>
        <v>2500</v>
      </c>
      <c r="E147" s="48"/>
      <c r="F147" s="48"/>
      <c r="G147" s="35"/>
      <c r="H147" s="35"/>
      <c r="I147" s="35"/>
      <c r="J147" s="35"/>
      <c r="K147" s="35"/>
      <c r="L147" s="35"/>
      <c r="M147" s="48"/>
      <c r="N147" s="48"/>
      <c r="O147" s="48"/>
      <c r="P147" s="48"/>
      <c r="Q147" s="48"/>
      <c r="R147" s="40"/>
      <c r="S147" s="40"/>
      <c r="T147" s="40"/>
      <c r="U147" s="40"/>
      <c r="V147" s="48"/>
      <c r="W147" s="48"/>
      <c r="X147" s="48"/>
      <c r="Y147" s="48"/>
      <c r="Z147" s="48">
        <v>2500</v>
      </c>
      <c r="AA147" s="48"/>
      <c r="AB147" s="48"/>
      <c r="AC147" s="48"/>
      <c r="AD147" s="48"/>
      <c r="AE147" s="48"/>
      <c r="AF147" s="48"/>
      <c r="AG147" s="48"/>
      <c r="AH147" s="48"/>
      <c r="AI147" s="49"/>
    </row>
    <row r="148" spans="1:35" x14ac:dyDescent="0.25">
      <c r="A148" s="48">
        <v>4</v>
      </c>
      <c r="B148" s="166" t="s">
        <v>555</v>
      </c>
      <c r="C148" s="166" t="s">
        <v>554</v>
      </c>
      <c r="D148" s="150">
        <f t="shared" si="9"/>
        <v>0</v>
      </c>
      <c r="E148" s="48"/>
      <c r="F148" s="48"/>
      <c r="G148" s="35"/>
      <c r="H148" s="35"/>
      <c r="I148" s="35"/>
      <c r="J148" s="35"/>
      <c r="K148" s="35"/>
      <c r="L148" s="35"/>
      <c r="M148" s="48"/>
      <c r="N148" s="48"/>
      <c r="O148" s="48"/>
      <c r="P148" s="48"/>
      <c r="Q148" s="48"/>
      <c r="R148" s="40"/>
      <c r="S148" s="40"/>
      <c r="T148" s="40"/>
      <c r="U148" s="40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9"/>
    </row>
    <row r="149" spans="1:35" x14ac:dyDescent="0.25">
      <c r="A149" s="48">
        <v>5</v>
      </c>
      <c r="B149" s="166" t="s">
        <v>551</v>
      </c>
      <c r="C149" s="166" t="s">
        <v>550</v>
      </c>
      <c r="D149" s="150">
        <f t="shared" si="9"/>
        <v>2500</v>
      </c>
      <c r="E149" s="48"/>
      <c r="F149" s="48"/>
      <c r="G149" s="35"/>
      <c r="H149" s="35"/>
      <c r="I149" s="35"/>
      <c r="J149" s="35"/>
      <c r="K149" s="35"/>
      <c r="L149" s="35"/>
      <c r="M149" s="48"/>
      <c r="N149" s="48"/>
      <c r="O149" s="48"/>
      <c r="P149" s="48"/>
      <c r="Q149" s="48"/>
      <c r="R149" s="40"/>
      <c r="S149" s="40"/>
      <c r="T149" s="40"/>
      <c r="U149" s="40"/>
      <c r="V149" s="48"/>
      <c r="W149" s="48"/>
      <c r="X149" s="48"/>
      <c r="Y149" s="48"/>
      <c r="Z149" s="48">
        <v>2500</v>
      </c>
      <c r="AA149" s="48"/>
      <c r="AB149" s="48"/>
      <c r="AC149" s="48"/>
      <c r="AD149" s="48"/>
      <c r="AE149" s="48"/>
      <c r="AF149" s="48"/>
      <c r="AG149" s="48"/>
      <c r="AH149" s="48"/>
      <c r="AI149" s="49"/>
    </row>
    <row r="150" spans="1:35" x14ac:dyDescent="0.25">
      <c r="A150" s="48">
        <v>6</v>
      </c>
      <c r="B150" s="166" t="s">
        <v>675</v>
      </c>
      <c r="C150" s="166" t="s">
        <v>670</v>
      </c>
      <c r="D150" s="150">
        <f t="shared" si="9"/>
        <v>60</v>
      </c>
      <c r="E150" s="48"/>
      <c r="F150" s="48"/>
      <c r="G150" s="35"/>
      <c r="H150" s="35"/>
      <c r="I150" s="35"/>
      <c r="J150" s="35"/>
      <c r="K150" s="35"/>
      <c r="L150" s="35"/>
      <c r="M150" s="48"/>
      <c r="N150" s="48"/>
      <c r="O150" s="48"/>
      <c r="P150" s="48"/>
      <c r="Q150" s="48"/>
      <c r="R150" s="40"/>
      <c r="S150" s="40"/>
      <c r="T150" s="40"/>
      <c r="U150" s="40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>
        <v>60</v>
      </c>
      <c r="AH150" s="48"/>
      <c r="AI150" s="49"/>
    </row>
    <row r="151" spans="1:35" x14ac:dyDescent="0.25">
      <c r="A151" s="48">
        <v>7</v>
      </c>
      <c r="B151" s="166" t="s">
        <v>827</v>
      </c>
      <c r="C151" s="166" t="s">
        <v>825</v>
      </c>
      <c r="D151" s="150">
        <f t="shared" si="9"/>
        <v>1000</v>
      </c>
      <c r="E151" s="48"/>
      <c r="F151" s="48"/>
      <c r="G151" s="35"/>
      <c r="H151" s="35"/>
      <c r="I151" s="35"/>
      <c r="J151" s="35"/>
      <c r="K151" s="35"/>
      <c r="L151" s="35"/>
      <c r="M151" s="48"/>
      <c r="N151" s="48"/>
      <c r="O151" s="48"/>
      <c r="P151" s="48"/>
      <c r="Q151" s="48"/>
      <c r="R151" s="40"/>
      <c r="S151" s="40"/>
      <c r="T151" s="40"/>
      <c r="U151" s="40"/>
      <c r="V151" s="48"/>
      <c r="W151" s="48"/>
      <c r="X151" s="48"/>
      <c r="Y151" s="48"/>
      <c r="Z151" s="48"/>
      <c r="AA151" s="48"/>
      <c r="AB151" s="48">
        <v>1000</v>
      </c>
      <c r="AC151" s="48"/>
      <c r="AD151" s="48"/>
      <c r="AE151" s="48"/>
      <c r="AF151" s="48"/>
      <c r="AG151" s="48"/>
      <c r="AH151" s="48"/>
      <c r="AI151" s="49"/>
    </row>
    <row r="152" spans="1:35" x14ac:dyDescent="0.25">
      <c r="A152" s="48">
        <v>8</v>
      </c>
      <c r="B152" s="176" t="s">
        <v>1136</v>
      </c>
      <c r="C152" s="176" t="s">
        <v>1133</v>
      </c>
      <c r="D152" s="150">
        <f t="shared" si="9"/>
        <v>9200</v>
      </c>
      <c r="E152" s="48"/>
      <c r="F152" s="48"/>
      <c r="G152" s="35"/>
      <c r="H152" s="35"/>
      <c r="I152" s="35"/>
      <c r="J152" s="35"/>
      <c r="K152" s="35"/>
      <c r="L152" s="35"/>
      <c r="M152" s="48"/>
      <c r="N152" s="48"/>
      <c r="O152" s="48"/>
      <c r="P152" s="48"/>
      <c r="Q152" s="48"/>
      <c r="R152" s="40"/>
      <c r="S152" s="40"/>
      <c r="T152" s="40"/>
      <c r="U152" s="40"/>
      <c r="V152" s="48"/>
      <c r="W152" s="48"/>
      <c r="X152" s="48"/>
      <c r="Y152" s="48"/>
      <c r="Z152" s="48"/>
      <c r="AA152" s="48">
        <v>9200</v>
      </c>
      <c r="AB152" s="48"/>
      <c r="AC152" s="48"/>
      <c r="AD152" s="48"/>
      <c r="AE152" s="48"/>
      <c r="AF152" s="48"/>
      <c r="AG152" s="48"/>
      <c r="AH152" s="48"/>
      <c r="AI152" s="49"/>
    </row>
    <row r="153" spans="1:35" x14ac:dyDescent="0.25">
      <c r="A153" s="48">
        <v>9</v>
      </c>
      <c r="B153" s="176" t="s">
        <v>1137</v>
      </c>
      <c r="C153" s="176" t="s">
        <v>1134</v>
      </c>
      <c r="D153" s="150">
        <f t="shared" si="9"/>
        <v>1500</v>
      </c>
      <c r="E153" s="48"/>
      <c r="F153" s="48"/>
      <c r="G153" s="35"/>
      <c r="H153" s="35"/>
      <c r="I153" s="35"/>
      <c r="J153" s="35"/>
      <c r="K153" s="35"/>
      <c r="L153" s="35"/>
      <c r="M153" s="48"/>
      <c r="N153" s="48"/>
      <c r="O153" s="48"/>
      <c r="P153" s="48"/>
      <c r="Q153" s="48"/>
      <c r="R153" s="40"/>
      <c r="S153" s="40"/>
      <c r="T153" s="40"/>
      <c r="U153" s="40"/>
      <c r="V153" s="48"/>
      <c r="W153" s="48"/>
      <c r="X153" s="48"/>
      <c r="Y153" s="48"/>
      <c r="Z153" s="48"/>
      <c r="AA153" s="48">
        <v>1500</v>
      </c>
      <c r="AB153" s="48"/>
      <c r="AC153" s="48"/>
      <c r="AD153" s="48"/>
      <c r="AE153" s="48"/>
      <c r="AF153" s="48"/>
      <c r="AG153" s="48"/>
      <c r="AH153" s="48"/>
      <c r="AI153" s="49"/>
    </row>
    <row r="154" spans="1:35" x14ac:dyDescent="0.25">
      <c r="A154" s="48">
        <v>10</v>
      </c>
      <c r="B154" s="176" t="s">
        <v>1138</v>
      </c>
      <c r="C154" s="176" t="s">
        <v>1135</v>
      </c>
      <c r="D154" s="150">
        <f t="shared" si="9"/>
        <v>400</v>
      </c>
      <c r="E154" s="48"/>
      <c r="F154" s="48"/>
      <c r="G154" s="35"/>
      <c r="H154" s="35"/>
      <c r="I154" s="35"/>
      <c r="J154" s="35"/>
      <c r="K154" s="35"/>
      <c r="L154" s="35"/>
      <c r="M154" s="48"/>
      <c r="N154" s="48"/>
      <c r="O154" s="48"/>
      <c r="P154" s="48"/>
      <c r="Q154" s="48"/>
      <c r="R154" s="40"/>
      <c r="S154" s="40"/>
      <c r="T154" s="40"/>
      <c r="U154" s="40"/>
      <c r="V154" s="48"/>
      <c r="W154" s="48"/>
      <c r="X154" s="48"/>
      <c r="Y154" s="48"/>
      <c r="Z154" s="48"/>
      <c r="AA154" s="48">
        <v>400</v>
      </c>
      <c r="AB154" s="48"/>
      <c r="AC154" s="48"/>
      <c r="AD154" s="48"/>
      <c r="AE154" s="48"/>
      <c r="AF154" s="48"/>
      <c r="AG154" s="48"/>
      <c r="AH154" s="48"/>
      <c r="AI154" s="49"/>
    </row>
    <row r="155" spans="1:35" x14ac:dyDescent="0.25">
      <c r="A155" s="48">
        <v>11</v>
      </c>
      <c r="B155" s="176" t="s">
        <v>869</v>
      </c>
      <c r="C155" s="176" t="s">
        <v>868</v>
      </c>
      <c r="D155" s="150">
        <f t="shared" si="9"/>
        <v>5000</v>
      </c>
      <c r="E155" s="48"/>
      <c r="F155" s="48"/>
      <c r="G155" s="35"/>
      <c r="H155" s="35"/>
      <c r="I155" s="35"/>
      <c r="J155" s="35"/>
      <c r="K155" s="35"/>
      <c r="L155" s="35"/>
      <c r="M155" s="48"/>
      <c r="N155" s="48"/>
      <c r="O155" s="48"/>
      <c r="P155" s="48"/>
      <c r="Q155" s="48"/>
      <c r="R155" s="40"/>
      <c r="S155" s="40"/>
      <c r="T155" s="40"/>
      <c r="U155" s="40"/>
      <c r="V155" s="48">
        <v>5000</v>
      </c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9"/>
    </row>
    <row r="156" spans="1:35" x14ac:dyDescent="0.25">
      <c r="A156" s="48">
        <v>12</v>
      </c>
      <c r="B156" s="176" t="s">
        <v>925</v>
      </c>
      <c r="C156" s="176" t="s">
        <v>924</v>
      </c>
      <c r="D156" s="150">
        <f t="shared" si="9"/>
        <v>4000</v>
      </c>
      <c r="E156" s="48"/>
      <c r="F156" s="48"/>
      <c r="G156" s="35"/>
      <c r="H156" s="35"/>
      <c r="I156" s="35"/>
      <c r="J156" s="35"/>
      <c r="K156" s="35"/>
      <c r="L156" s="35"/>
      <c r="M156" s="48"/>
      <c r="N156" s="48"/>
      <c r="O156" s="48"/>
      <c r="P156" s="48"/>
      <c r="Q156" s="48"/>
      <c r="R156" s="40"/>
      <c r="S156" s="40"/>
      <c r="T156" s="40"/>
      <c r="U156" s="40"/>
      <c r="V156" s="48"/>
      <c r="W156" s="48">
        <v>2700</v>
      </c>
      <c r="X156" s="48">
        <v>1260</v>
      </c>
      <c r="Y156" s="48"/>
      <c r="Z156" s="48"/>
      <c r="AA156" s="48"/>
      <c r="AB156" s="48">
        <v>40</v>
      </c>
      <c r="AC156" s="48"/>
      <c r="AD156" s="48"/>
      <c r="AE156" s="48"/>
      <c r="AF156" s="48"/>
      <c r="AG156" s="48"/>
      <c r="AH156" s="48"/>
      <c r="AI156" s="49"/>
    </row>
    <row r="157" spans="1:35" x14ac:dyDescent="0.25">
      <c r="A157" s="48">
        <v>13</v>
      </c>
      <c r="B157" s="176" t="s">
        <v>930</v>
      </c>
      <c r="C157" s="176" t="s">
        <v>928</v>
      </c>
      <c r="D157" s="150">
        <f t="shared" si="9"/>
        <v>0</v>
      </c>
      <c r="E157" s="48"/>
      <c r="F157" s="48"/>
      <c r="G157" s="35"/>
      <c r="H157" s="35"/>
      <c r="I157" s="35"/>
      <c r="J157" s="35"/>
      <c r="K157" s="35"/>
      <c r="L157" s="35"/>
      <c r="M157" s="48"/>
      <c r="N157" s="48"/>
      <c r="O157" s="48"/>
      <c r="P157" s="48"/>
      <c r="Q157" s="48"/>
      <c r="R157" s="40"/>
      <c r="S157" s="40"/>
      <c r="T157" s="40"/>
      <c r="U157" s="40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9"/>
    </row>
    <row r="158" spans="1:35" x14ac:dyDescent="0.25">
      <c r="A158" s="48">
        <v>14</v>
      </c>
      <c r="B158" s="176" t="s">
        <v>931</v>
      </c>
      <c r="C158" s="176" t="s">
        <v>929</v>
      </c>
      <c r="D158" s="150">
        <f t="shared" si="9"/>
        <v>0</v>
      </c>
      <c r="E158" s="48"/>
      <c r="F158" s="48"/>
      <c r="G158" s="35"/>
      <c r="H158" s="35"/>
      <c r="I158" s="35"/>
      <c r="J158" s="35"/>
      <c r="K158" s="35"/>
      <c r="L158" s="35"/>
      <c r="M158" s="48"/>
      <c r="N158" s="48"/>
      <c r="O158" s="48"/>
      <c r="P158" s="48"/>
      <c r="Q158" s="48"/>
      <c r="R158" s="40"/>
      <c r="S158" s="40"/>
      <c r="T158" s="40"/>
      <c r="U158" s="40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9"/>
    </row>
    <row r="159" spans="1:35" x14ac:dyDescent="0.25">
      <c r="A159" s="48">
        <v>15</v>
      </c>
      <c r="B159" s="176" t="s">
        <v>927</v>
      </c>
      <c r="C159" s="176" t="s">
        <v>926</v>
      </c>
      <c r="D159" s="150">
        <f t="shared" si="9"/>
        <v>0</v>
      </c>
      <c r="E159" s="48"/>
      <c r="F159" s="48"/>
      <c r="G159" s="35"/>
      <c r="H159" s="35"/>
      <c r="I159" s="35"/>
      <c r="J159" s="35"/>
      <c r="K159" s="35"/>
      <c r="L159" s="35"/>
      <c r="M159" s="48"/>
      <c r="N159" s="48"/>
      <c r="O159" s="48"/>
      <c r="P159" s="48"/>
      <c r="Q159" s="48"/>
      <c r="R159" s="40"/>
      <c r="S159" s="40"/>
      <c r="T159" s="40"/>
      <c r="U159" s="40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9"/>
    </row>
    <row r="160" spans="1:35" x14ac:dyDescent="0.25">
      <c r="A160" s="48">
        <v>16</v>
      </c>
      <c r="B160" s="166" t="s">
        <v>828</v>
      </c>
      <c r="C160" s="166" t="s">
        <v>826</v>
      </c>
      <c r="D160" s="150">
        <f t="shared" si="9"/>
        <v>500</v>
      </c>
      <c r="E160" s="48"/>
      <c r="F160" s="48"/>
      <c r="G160" s="35"/>
      <c r="H160" s="35"/>
      <c r="I160" s="35"/>
      <c r="J160" s="35"/>
      <c r="K160" s="35"/>
      <c r="L160" s="35"/>
      <c r="M160" s="48"/>
      <c r="N160" s="48"/>
      <c r="O160" s="48"/>
      <c r="P160" s="48"/>
      <c r="Q160" s="48"/>
      <c r="R160" s="40"/>
      <c r="S160" s="40"/>
      <c r="T160" s="40"/>
      <c r="U160" s="40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>
        <v>500</v>
      </c>
      <c r="AG160" s="48"/>
      <c r="AH160" s="48"/>
      <c r="AI160" s="49"/>
    </row>
    <row r="161" spans="1:35" x14ac:dyDescent="0.25">
      <c r="A161" s="48">
        <v>17</v>
      </c>
      <c r="B161" s="176" t="s">
        <v>893</v>
      </c>
      <c r="C161" s="176" t="s">
        <v>892</v>
      </c>
      <c r="D161" s="150">
        <f t="shared" si="9"/>
        <v>15000</v>
      </c>
      <c r="E161" s="48"/>
      <c r="F161" s="48"/>
      <c r="G161" s="35">
        <v>2400</v>
      </c>
      <c r="H161" s="35">
        <v>12540</v>
      </c>
      <c r="I161" s="35"/>
      <c r="J161" s="35"/>
      <c r="K161" s="35"/>
      <c r="L161" s="35"/>
      <c r="M161" s="48"/>
      <c r="N161" s="48"/>
      <c r="O161" s="48"/>
      <c r="P161" s="48"/>
      <c r="Q161" s="48"/>
      <c r="R161" s="40"/>
      <c r="S161" s="40"/>
      <c r="T161" s="40"/>
      <c r="U161" s="40"/>
      <c r="V161" s="48"/>
      <c r="W161" s="48"/>
      <c r="X161" s="48"/>
      <c r="Y161" s="48"/>
      <c r="Z161" s="48"/>
      <c r="AA161" s="48"/>
      <c r="AB161" s="48"/>
      <c r="AC161" s="48"/>
      <c r="AD161" s="48"/>
      <c r="AE161" s="48">
        <v>60</v>
      </c>
      <c r="AF161" s="48"/>
      <c r="AG161" s="48"/>
      <c r="AH161" s="48"/>
      <c r="AI161" s="49"/>
    </row>
    <row r="162" spans="1:35" x14ac:dyDescent="0.25">
      <c r="A162" s="48">
        <v>18</v>
      </c>
      <c r="B162" s="176" t="s">
        <v>1027</v>
      </c>
      <c r="C162" s="176" t="s">
        <v>1025</v>
      </c>
      <c r="D162" s="150">
        <f t="shared" si="9"/>
        <v>5200</v>
      </c>
      <c r="E162" s="48"/>
      <c r="F162" s="48"/>
      <c r="G162" s="35"/>
      <c r="H162" s="35"/>
      <c r="I162" s="35"/>
      <c r="J162" s="35"/>
      <c r="K162" s="35"/>
      <c r="L162" s="35"/>
      <c r="M162" s="48"/>
      <c r="N162" s="48"/>
      <c r="O162" s="48"/>
      <c r="P162" s="48">
        <v>600</v>
      </c>
      <c r="Q162" s="48">
        <v>3696</v>
      </c>
      <c r="R162" s="40"/>
      <c r="S162" s="40"/>
      <c r="T162" s="40"/>
      <c r="U162" s="40">
        <v>898</v>
      </c>
      <c r="V162" s="48"/>
      <c r="W162" s="48"/>
      <c r="X162" s="48"/>
      <c r="Y162" s="48"/>
      <c r="Z162" s="48"/>
      <c r="AA162" s="48"/>
      <c r="AB162" s="48">
        <v>6</v>
      </c>
      <c r="AC162" s="48"/>
      <c r="AD162" s="48"/>
      <c r="AE162" s="48"/>
      <c r="AF162" s="48"/>
      <c r="AG162" s="48"/>
      <c r="AH162" s="48"/>
      <c r="AI162" s="49"/>
    </row>
    <row r="163" spans="1:35" x14ac:dyDescent="0.25">
      <c r="A163" s="48">
        <v>19</v>
      </c>
      <c r="B163" s="176" t="s">
        <v>1028</v>
      </c>
      <c r="C163" s="176" t="s">
        <v>1026</v>
      </c>
      <c r="D163" s="150">
        <f t="shared" si="9"/>
        <v>30000</v>
      </c>
      <c r="E163" s="48"/>
      <c r="F163" s="48"/>
      <c r="G163" s="35"/>
      <c r="H163" s="35"/>
      <c r="I163" s="35"/>
      <c r="J163" s="35"/>
      <c r="K163" s="35"/>
      <c r="L163" s="35"/>
      <c r="M163" s="48"/>
      <c r="N163" s="48"/>
      <c r="O163" s="48">
        <v>11400</v>
      </c>
      <c r="P163" s="48">
        <v>18600</v>
      </c>
      <c r="Q163" s="48"/>
      <c r="R163" s="40"/>
      <c r="S163" s="40"/>
      <c r="T163" s="40"/>
      <c r="U163" s="40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9"/>
    </row>
    <row r="164" spans="1:35" x14ac:dyDescent="0.25">
      <c r="A164" s="48">
        <v>20</v>
      </c>
      <c r="B164" s="166" t="s">
        <v>676</v>
      </c>
      <c r="C164" s="166" t="s">
        <v>671</v>
      </c>
      <c r="D164" s="150">
        <f t="shared" si="9"/>
        <v>340</v>
      </c>
      <c r="E164" s="48"/>
      <c r="F164" s="48"/>
      <c r="G164" s="35"/>
      <c r="H164" s="35"/>
      <c r="I164" s="35"/>
      <c r="J164" s="35"/>
      <c r="K164" s="35"/>
      <c r="L164" s="35"/>
      <c r="M164" s="48"/>
      <c r="N164" s="48"/>
      <c r="O164" s="48"/>
      <c r="P164" s="48"/>
      <c r="Q164" s="48"/>
      <c r="R164" s="40"/>
      <c r="S164" s="40"/>
      <c r="T164" s="40"/>
      <c r="U164" s="40"/>
      <c r="V164" s="48"/>
      <c r="W164" s="48"/>
      <c r="X164" s="48"/>
      <c r="Y164" s="48"/>
      <c r="Z164" s="48"/>
      <c r="AA164" s="48"/>
      <c r="AB164" s="48"/>
      <c r="AC164" s="48"/>
      <c r="AD164" s="48">
        <v>100</v>
      </c>
      <c r="AE164" s="48"/>
      <c r="AF164" s="48"/>
      <c r="AG164" s="48">
        <v>240</v>
      </c>
      <c r="AH164" s="48"/>
      <c r="AI164" s="49"/>
    </row>
    <row r="165" spans="1:35" x14ac:dyDescent="0.25">
      <c r="A165" s="48">
        <v>22</v>
      </c>
      <c r="B165" s="176" t="s">
        <v>1101</v>
      </c>
      <c r="C165" s="176" t="s">
        <v>1097</v>
      </c>
      <c r="D165" s="150">
        <f t="shared" si="9"/>
        <v>2500</v>
      </c>
      <c r="E165" s="48"/>
      <c r="F165" s="48"/>
      <c r="G165" s="35"/>
      <c r="H165" s="35"/>
      <c r="I165" s="35"/>
      <c r="J165" s="35"/>
      <c r="K165" s="35"/>
      <c r="L165" s="35"/>
      <c r="M165" s="48"/>
      <c r="N165" s="48"/>
      <c r="O165" s="48"/>
      <c r="P165" s="48"/>
      <c r="Q165" s="48"/>
      <c r="R165" s="40"/>
      <c r="S165" s="40"/>
      <c r="T165" s="40"/>
      <c r="U165" s="40"/>
      <c r="V165" s="48"/>
      <c r="W165" s="48"/>
      <c r="X165" s="48"/>
      <c r="Y165" s="48"/>
      <c r="Z165" s="48"/>
      <c r="AA165" s="48">
        <v>2500</v>
      </c>
      <c r="AB165" s="48"/>
      <c r="AC165" s="48"/>
      <c r="AD165" s="48"/>
      <c r="AE165" s="48"/>
      <c r="AF165" s="48"/>
      <c r="AG165" s="48"/>
      <c r="AH165" s="48"/>
      <c r="AI165" s="49"/>
    </row>
    <row r="166" spans="1:35" x14ac:dyDescent="0.25">
      <c r="A166" s="48">
        <v>23</v>
      </c>
      <c r="B166" s="176" t="s">
        <v>1102</v>
      </c>
      <c r="C166" s="176" t="s">
        <v>1098</v>
      </c>
      <c r="D166" s="150">
        <f t="shared" si="9"/>
        <v>2500</v>
      </c>
      <c r="E166" s="48"/>
      <c r="F166" s="48"/>
      <c r="G166" s="35"/>
      <c r="H166" s="35"/>
      <c r="I166" s="35"/>
      <c r="J166" s="35"/>
      <c r="K166" s="35"/>
      <c r="L166" s="35"/>
      <c r="M166" s="48"/>
      <c r="N166" s="48"/>
      <c r="O166" s="48"/>
      <c r="P166" s="48"/>
      <c r="Q166" s="48"/>
      <c r="R166" s="40"/>
      <c r="S166" s="40"/>
      <c r="T166" s="40"/>
      <c r="U166" s="40"/>
      <c r="V166" s="48"/>
      <c r="W166" s="48"/>
      <c r="X166" s="48"/>
      <c r="Y166" s="48"/>
      <c r="Z166" s="48"/>
      <c r="AA166" s="48">
        <v>2500</v>
      </c>
      <c r="AB166" s="48"/>
      <c r="AC166" s="48"/>
      <c r="AD166" s="48"/>
      <c r="AE166" s="48"/>
      <c r="AF166" s="48"/>
      <c r="AG166" s="48"/>
      <c r="AH166" s="48"/>
      <c r="AI166" s="49"/>
    </row>
    <row r="167" spans="1:35" x14ac:dyDescent="0.25">
      <c r="A167" s="48">
        <v>24</v>
      </c>
      <c r="B167" s="176" t="s">
        <v>1103</v>
      </c>
      <c r="C167" s="176" t="s">
        <v>1099</v>
      </c>
      <c r="D167" s="150">
        <f t="shared" si="9"/>
        <v>500</v>
      </c>
      <c r="E167" s="48"/>
      <c r="F167" s="48"/>
      <c r="G167" s="35"/>
      <c r="H167" s="35"/>
      <c r="I167" s="35"/>
      <c r="J167" s="35"/>
      <c r="K167" s="35"/>
      <c r="L167" s="35"/>
      <c r="M167" s="48"/>
      <c r="N167" s="48"/>
      <c r="O167" s="48"/>
      <c r="P167" s="48"/>
      <c r="Q167" s="48"/>
      <c r="R167" s="40"/>
      <c r="S167" s="40"/>
      <c r="T167" s="40"/>
      <c r="U167" s="40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>
        <v>495</v>
      </c>
      <c r="AG167" s="48">
        <v>5</v>
      </c>
      <c r="AH167" s="48"/>
      <c r="AI167" s="49"/>
    </row>
    <row r="168" spans="1:35" x14ac:dyDescent="0.25">
      <c r="A168" s="48">
        <v>25</v>
      </c>
      <c r="B168" s="176" t="s">
        <v>1104</v>
      </c>
      <c r="C168" s="176" t="s">
        <v>1100</v>
      </c>
      <c r="D168" s="150">
        <f t="shared" si="9"/>
        <v>500</v>
      </c>
      <c r="E168" s="48"/>
      <c r="F168" s="48"/>
      <c r="G168" s="35"/>
      <c r="H168" s="35"/>
      <c r="I168" s="35"/>
      <c r="J168" s="35"/>
      <c r="K168" s="35"/>
      <c r="L168" s="35"/>
      <c r="M168" s="48"/>
      <c r="N168" s="48"/>
      <c r="O168" s="48"/>
      <c r="P168" s="48"/>
      <c r="Q168" s="48"/>
      <c r="R168" s="40"/>
      <c r="S168" s="40"/>
      <c r="T168" s="40"/>
      <c r="U168" s="40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>
        <v>500</v>
      </c>
      <c r="AG168" s="48"/>
      <c r="AH168" s="48"/>
      <c r="AI168" s="49"/>
    </row>
    <row r="169" spans="1:35" x14ac:dyDescent="0.25">
      <c r="A169" s="48">
        <v>26</v>
      </c>
      <c r="B169" s="166" t="s">
        <v>677</v>
      </c>
      <c r="C169" s="166" t="s">
        <v>672</v>
      </c>
      <c r="D169" s="150">
        <f t="shared" si="9"/>
        <v>80</v>
      </c>
      <c r="E169" s="48"/>
      <c r="F169" s="48"/>
      <c r="G169" s="35"/>
      <c r="H169" s="35"/>
      <c r="I169" s="35"/>
      <c r="J169" s="35"/>
      <c r="K169" s="35">
        <v>80</v>
      </c>
      <c r="L169" s="35"/>
      <c r="M169" s="48"/>
      <c r="N169" s="48"/>
      <c r="O169" s="48"/>
      <c r="P169" s="48"/>
      <c r="Q169" s="48"/>
      <c r="R169" s="40"/>
      <c r="S169" s="40"/>
      <c r="T169" s="40"/>
      <c r="U169" s="40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9"/>
    </row>
    <row r="170" spans="1:35" x14ac:dyDescent="0.25">
      <c r="A170" s="48">
        <v>27</v>
      </c>
      <c r="B170" s="176" t="s">
        <v>1107</v>
      </c>
      <c r="C170" s="176" t="s">
        <v>1105</v>
      </c>
      <c r="D170" s="150">
        <f t="shared" si="9"/>
        <v>500</v>
      </c>
      <c r="E170" s="48"/>
      <c r="F170" s="48"/>
      <c r="G170" s="35"/>
      <c r="H170" s="35"/>
      <c r="I170" s="35"/>
      <c r="J170" s="35"/>
      <c r="K170" s="35"/>
      <c r="L170" s="35"/>
      <c r="M170" s="48"/>
      <c r="N170" s="48"/>
      <c r="O170" s="48"/>
      <c r="P170" s="48"/>
      <c r="Q170" s="48"/>
      <c r="R170" s="40"/>
      <c r="S170" s="40"/>
      <c r="T170" s="40"/>
      <c r="U170" s="40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>
        <v>500</v>
      </c>
      <c r="AG170" s="48"/>
      <c r="AH170" s="48"/>
      <c r="AI170" s="49"/>
    </row>
    <row r="171" spans="1:35" x14ac:dyDescent="0.25">
      <c r="A171" s="48">
        <v>28</v>
      </c>
      <c r="B171" s="176" t="s">
        <v>1108</v>
      </c>
      <c r="C171" s="176" t="s">
        <v>1106</v>
      </c>
      <c r="D171" s="150">
        <f t="shared" si="9"/>
        <v>500</v>
      </c>
      <c r="E171" s="48"/>
      <c r="F171" s="48"/>
      <c r="G171" s="35"/>
      <c r="H171" s="35"/>
      <c r="I171" s="35"/>
      <c r="J171" s="35"/>
      <c r="K171" s="35"/>
      <c r="L171" s="35"/>
      <c r="M171" s="48"/>
      <c r="N171" s="48"/>
      <c r="O171" s="48"/>
      <c r="P171" s="48"/>
      <c r="Q171" s="48"/>
      <c r="R171" s="40"/>
      <c r="S171" s="40"/>
      <c r="T171" s="40"/>
      <c r="U171" s="40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>
        <v>500</v>
      </c>
      <c r="AH171" s="48"/>
      <c r="AI171" s="49"/>
    </row>
    <row r="172" spans="1:35" x14ac:dyDescent="0.25">
      <c r="A172" s="48">
        <v>29</v>
      </c>
      <c r="B172" s="176" t="s">
        <v>1111</v>
      </c>
      <c r="C172" s="176" t="s">
        <v>1109</v>
      </c>
      <c r="D172" s="150">
        <f t="shared" si="9"/>
        <v>15000</v>
      </c>
      <c r="E172" s="48"/>
      <c r="F172" s="48"/>
      <c r="G172" s="35"/>
      <c r="H172" s="35"/>
      <c r="I172" s="35"/>
      <c r="J172" s="35"/>
      <c r="K172" s="35"/>
      <c r="L172" s="35"/>
      <c r="M172" s="48"/>
      <c r="N172" s="48"/>
      <c r="O172" s="48"/>
      <c r="P172" s="48"/>
      <c r="Q172" s="48"/>
      <c r="R172" s="40"/>
      <c r="S172" s="40"/>
      <c r="T172" s="40"/>
      <c r="U172" s="40"/>
      <c r="V172" s="48"/>
      <c r="W172" s="48"/>
      <c r="X172" s="48"/>
      <c r="Y172" s="48">
        <v>15000</v>
      </c>
      <c r="Z172" s="48"/>
      <c r="AA172" s="48"/>
      <c r="AB172" s="48"/>
      <c r="AC172" s="48"/>
      <c r="AD172" s="48"/>
      <c r="AE172" s="48"/>
      <c r="AF172" s="48"/>
      <c r="AG172" s="48"/>
      <c r="AH172" s="48"/>
      <c r="AI172" s="49"/>
    </row>
    <row r="173" spans="1:35" x14ac:dyDescent="0.25">
      <c r="A173" s="48">
        <v>30</v>
      </c>
      <c r="B173" s="176" t="s">
        <v>1112</v>
      </c>
      <c r="C173" s="176" t="s">
        <v>1110</v>
      </c>
      <c r="D173" s="150">
        <f t="shared" si="9"/>
        <v>10000</v>
      </c>
      <c r="E173" s="48"/>
      <c r="F173" s="48"/>
      <c r="G173" s="35"/>
      <c r="H173" s="35"/>
      <c r="I173" s="35"/>
      <c r="J173" s="35"/>
      <c r="K173" s="35"/>
      <c r="L173" s="35"/>
      <c r="M173" s="48"/>
      <c r="N173" s="48"/>
      <c r="O173" s="48"/>
      <c r="P173" s="48"/>
      <c r="Q173" s="48"/>
      <c r="R173" s="40"/>
      <c r="S173" s="40"/>
      <c r="T173" s="40"/>
      <c r="U173" s="40"/>
      <c r="V173" s="48"/>
      <c r="W173" s="48"/>
      <c r="X173" s="48"/>
      <c r="Y173" s="48">
        <v>10000</v>
      </c>
      <c r="Z173" s="48"/>
      <c r="AA173" s="48"/>
      <c r="AB173" s="48"/>
      <c r="AC173" s="48"/>
      <c r="AD173" s="48"/>
      <c r="AE173" s="48"/>
      <c r="AF173" s="48"/>
      <c r="AG173" s="48"/>
      <c r="AH173" s="48"/>
      <c r="AI173" s="49"/>
    </row>
    <row r="174" spans="1:35" x14ac:dyDescent="0.25">
      <c r="A174" s="48">
        <v>31</v>
      </c>
      <c r="B174" s="176" t="s">
        <v>1114</v>
      </c>
      <c r="C174" s="176" t="s">
        <v>1113</v>
      </c>
      <c r="D174" s="150">
        <f t="shared" si="9"/>
        <v>500</v>
      </c>
      <c r="E174" s="48"/>
      <c r="F174" s="48"/>
      <c r="G174" s="35"/>
      <c r="H174" s="35"/>
      <c r="I174" s="35"/>
      <c r="J174" s="35"/>
      <c r="K174" s="35"/>
      <c r="L174" s="35"/>
      <c r="M174" s="48"/>
      <c r="N174" s="48"/>
      <c r="O174" s="48"/>
      <c r="P174" s="48"/>
      <c r="Q174" s="48"/>
      <c r="R174" s="40"/>
      <c r="S174" s="40"/>
      <c r="T174" s="40"/>
      <c r="U174" s="40"/>
      <c r="V174" s="48"/>
      <c r="W174" s="48"/>
      <c r="X174" s="48"/>
      <c r="Y174" s="48"/>
      <c r="Z174" s="48">
        <v>500</v>
      </c>
      <c r="AA174" s="48"/>
      <c r="AB174" s="48"/>
      <c r="AC174" s="48"/>
      <c r="AD174" s="48"/>
      <c r="AE174" s="48"/>
      <c r="AF174" s="48"/>
      <c r="AG174" s="48"/>
      <c r="AH174" s="48"/>
      <c r="AI174" s="49"/>
    </row>
    <row r="175" spans="1:35" x14ac:dyDescent="0.25">
      <c r="A175" s="48">
        <v>32</v>
      </c>
      <c r="B175" s="166" t="s">
        <v>678</v>
      </c>
      <c r="C175" s="166" t="s">
        <v>673</v>
      </c>
      <c r="D175" s="150">
        <f t="shared" si="9"/>
        <v>5000</v>
      </c>
      <c r="E175" s="48"/>
      <c r="F175" s="48"/>
      <c r="G175" s="35"/>
      <c r="H175" s="35"/>
      <c r="I175" s="35"/>
      <c r="J175" s="35"/>
      <c r="K175" s="35"/>
      <c r="L175" s="35"/>
      <c r="M175" s="48"/>
      <c r="N175" s="48"/>
      <c r="O175" s="48"/>
      <c r="P175" s="48"/>
      <c r="Q175" s="48"/>
      <c r="R175" s="40"/>
      <c r="S175" s="40"/>
      <c r="T175" s="40"/>
      <c r="U175" s="40"/>
      <c r="V175" s="48">
        <v>5000</v>
      </c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9"/>
    </row>
    <row r="176" spans="1:35" x14ac:dyDescent="0.25">
      <c r="A176" s="48">
        <v>33</v>
      </c>
      <c r="B176" s="166" t="s">
        <v>679</v>
      </c>
      <c r="C176" s="166" t="s">
        <v>674</v>
      </c>
      <c r="D176" s="150">
        <f t="shared" si="9"/>
        <v>10000</v>
      </c>
      <c r="E176" s="48"/>
      <c r="F176" s="48"/>
      <c r="G176" s="35"/>
      <c r="H176" s="35"/>
      <c r="I176" s="35"/>
      <c r="J176" s="35"/>
      <c r="K176" s="35"/>
      <c r="L176" s="35"/>
      <c r="M176" s="48"/>
      <c r="N176" s="48"/>
      <c r="O176" s="48"/>
      <c r="P176" s="48"/>
      <c r="Q176" s="48"/>
      <c r="R176" s="40"/>
      <c r="S176" s="40"/>
      <c r="T176" s="40"/>
      <c r="U176" s="40">
        <v>5400</v>
      </c>
      <c r="V176" s="48">
        <v>4600</v>
      </c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9"/>
    </row>
    <row r="177" spans="1:35" x14ac:dyDescent="0.25">
      <c r="A177" s="48">
        <v>34</v>
      </c>
      <c r="B177" s="166" t="s">
        <v>215</v>
      </c>
      <c r="C177" s="166" t="s">
        <v>216</v>
      </c>
      <c r="D177" s="150">
        <f t="shared" ref="D177:D208" si="10">SUM(E177:AI177)</f>
        <v>2000</v>
      </c>
      <c r="E177" s="48"/>
      <c r="F177" s="48"/>
      <c r="G177" s="35"/>
      <c r="H177" s="35">
        <v>2000</v>
      </c>
      <c r="I177" s="35"/>
      <c r="J177" s="35"/>
      <c r="K177" s="35"/>
      <c r="L177" s="35"/>
      <c r="M177" s="48"/>
      <c r="N177" s="48"/>
      <c r="O177" s="48"/>
      <c r="P177" s="48"/>
      <c r="Q177" s="48"/>
      <c r="R177" s="40"/>
      <c r="S177" s="40"/>
      <c r="T177" s="40"/>
      <c r="U177" s="40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9"/>
    </row>
    <row r="178" spans="1:35" x14ac:dyDescent="0.25">
      <c r="A178" s="48">
        <v>35</v>
      </c>
      <c r="B178" s="166" t="s">
        <v>417</v>
      </c>
      <c r="C178" s="166" t="s">
        <v>415</v>
      </c>
      <c r="D178" s="150">
        <f t="shared" si="10"/>
        <v>500</v>
      </c>
      <c r="E178" s="48"/>
      <c r="F178" s="48"/>
      <c r="G178" s="35"/>
      <c r="H178" s="35"/>
      <c r="I178" s="35"/>
      <c r="J178" s="35"/>
      <c r="K178" s="35"/>
      <c r="L178" s="35"/>
      <c r="M178" s="48"/>
      <c r="N178" s="48"/>
      <c r="O178" s="48"/>
      <c r="P178" s="48"/>
      <c r="Q178" s="48"/>
      <c r="R178" s="40"/>
      <c r="S178" s="40"/>
      <c r="T178" s="40"/>
      <c r="U178" s="40"/>
      <c r="V178" s="48"/>
      <c r="W178" s="48"/>
      <c r="X178" s="48"/>
      <c r="Y178" s="48"/>
      <c r="Z178" s="48"/>
      <c r="AA178" s="48"/>
      <c r="AB178" s="48"/>
      <c r="AC178" s="48">
        <v>500</v>
      </c>
      <c r="AD178" s="48"/>
      <c r="AE178" s="48"/>
      <c r="AF178" s="48"/>
      <c r="AG178" s="48"/>
      <c r="AH178" s="48"/>
      <c r="AI178" s="49"/>
    </row>
    <row r="179" spans="1:35" x14ac:dyDescent="0.25">
      <c r="A179" s="48">
        <v>36</v>
      </c>
      <c r="B179" s="166" t="s">
        <v>418</v>
      </c>
      <c r="C179" s="166" t="s">
        <v>416</v>
      </c>
      <c r="D179" s="150">
        <f t="shared" si="10"/>
        <v>500</v>
      </c>
      <c r="E179" s="48"/>
      <c r="F179" s="48"/>
      <c r="G179" s="35"/>
      <c r="H179" s="35"/>
      <c r="I179" s="35"/>
      <c r="J179" s="35"/>
      <c r="K179" s="35"/>
      <c r="L179" s="35"/>
      <c r="M179" s="48"/>
      <c r="N179" s="48"/>
      <c r="O179" s="48"/>
      <c r="P179" s="48"/>
      <c r="Q179" s="48"/>
      <c r="R179" s="40"/>
      <c r="S179" s="40"/>
      <c r="T179" s="40"/>
      <c r="U179" s="40"/>
      <c r="V179" s="48"/>
      <c r="W179" s="48"/>
      <c r="X179" s="48"/>
      <c r="Y179" s="48"/>
      <c r="Z179" s="48">
        <v>500</v>
      </c>
      <c r="AA179" s="48"/>
      <c r="AB179" s="48"/>
      <c r="AC179" s="48"/>
      <c r="AD179" s="48"/>
      <c r="AE179" s="48"/>
      <c r="AF179" s="48"/>
      <c r="AG179" s="48"/>
      <c r="AH179" s="48"/>
      <c r="AI179" s="49"/>
    </row>
    <row r="180" spans="1:35" x14ac:dyDescent="0.25">
      <c r="A180" s="48">
        <v>37</v>
      </c>
      <c r="B180" s="166" t="s">
        <v>650</v>
      </c>
      <c r="C180" s="166" t="s">
        <v>649</v>
      </c>
      <c r="D180" s="150">
        <f t="shared" si="10"/>
        <v>468</v>
      </c>
      <c r="E180" s="48"/>
      <c r="F180" s="48"/>
      <c r="G180" s="35"/>
      <c r="H180" s="35"/>
      <c r="I180" s="35"/>
      <c r="J180" s="35"/>
      <c r="K180" s="35"/>
      <c r="L180" s="35"/>
      <c r="M180" s="48"/>
      <c r="N180" s="48"/>
      <c r="O180" s="48"/>
      <c r="P180" s="48"/>
      <c r="Q180" s="48"/>
      <c r="R180" s="40"/>
      <c r="S180" s="40"/>
      <c r="T180" s="40"/>
      <c r="U180" s="40"/>
      <c r="V180" s="48"/>
      <c r="W180" s="48"/>
      <c r="X180" s="48"/>
      <c r="Y180" s="48"/>
      <c r="Z180" s="48"/>
      <c r="AA180" s="48"/>
      <c r="AB180" s="48"/>
      <c r="AC180" s="48"/>
      <c r="AD180" s="48">
        <v>468</v>
      </c>
      <c r="AE180" s="48"/>
      <c r="AF180" s="48"/>
      <c r="AG180" s="48"/>
      <c r="AH180" s="48"/>
      <c r="AI180" s="49"/>
    </row>
    <row r="181" spans="1:35" x14ac:dyDescent="0.25">
      <c r="A181" s="48">
        <v>38</v>
      </c>
      <c r="B181" s="176" t="s">
        <v>1174</v>
      </c>
      <c r="C181" s="176" t="s">
        <v>1172</v>
      </c>
      <c r="D181" s="150">
        <f t="shared" si="10"/>
        <v>5000</v>
      </c>
      <c r="E181" s="48"/>
      <c r="F181" s="48"/>
      <c r="G181" s="35"/>
      <c r="H181" s="35"/>
      <c r="I181" s="35"/>
      <c r="J181" s="35"/>
      <c r="K181" s="35"/>
      <c r="L181" s="35"/>
      <c r="M181" s="48"/>
      <c r="N181" s="48"/>
      <c r="O181" s="48"/>
      <c r="P181" s="48"/>
      <c r="Q181" s="48"/>
      <c r="R181" s="40"/>
      <c r="S181" s="40"/>
      <c r="T181" s="40"/>
      <c r="U181" s="40"/>
      <c r="V181" s="48"/>
      <c r="W181" s="48"/>
      <c r="X181" s="48"/>
      <c r="Y181" s="48"/>
      <c r="Z181" s="48"/>
      <c r="AA181" s="48"/>
      <c r="AB181" s="48"/>
      <c r="AC181" s="48"/>
      <c r="AD181" s="48">
        <v>5000</v>
      </c>
      <c r="AE181" s="48"/>
      <c r="AF181" s="48"/>
      <c r="AG181" s="48"/>
      <c r="AH181" s="48"/>
      <c r="AI181" s="49"/>
    </row>
    <row r="182" spans="1:35" x14ac:dyDescent="0.25">
      <c r="A182" s="48">
        <v>39</v>
      </c>
      <c r="B182" s="176" t="s">
        <v>1143</v>
      </c>
      <c r="C182" s="176" t="s">
        <v>1173</v>
      </c>
      <c r="D182" s="150">
        <f t="shared" si="10"/>
        <v>500</v>
      </c>
      <c r="E182" s="48"/>
      <c r="F182" s="48"/>
      <c r="G182" s="35"/>
      <c r="H182" s="35"/>
      <c r="I182" s="35"/>
      <c r="J182" s="35"/>
      <c r="K182" s="35"/>
      <c r="L182" s="35"/>
      <c r="M182" s="48"/>
      <c r="N182" s="48"/>
      <c r="O182" s="48"/>
      <c r="P182" s="48"/>
      <c r="Q182" s="48"/>
      <c r="R182" s="40"/>
      <c r="S182" s="40"/>
      <c r="T182" s="40"/>
      <c r="U182" s="40"/>
      <c r="V182" s="48"/>
      <c r="W182" s="48"/>
      <c r="X182" s="48"/>
      <c r="Y182" s="48"/>
      <c r="Z182" s="48"/>
      <c r="AA182" s="48"/>
      <c r="AB182" s="48"/>
      <c r="AC182" s="48"/>
      <c r="AD182" s="48">
        <v>500</v>
      </c>
      <c r="AE182" s="48"/>
      <c r="AF182" s="48"/>
      <c r="AG182" s="48"/>
      <c r="AH182" s="48"/>
      <c r="AI182" s="49"/>
    </row>
    <row r="183" spans="1:35" x14ac:dyDescent="0.25">
      <c r="A183" s="48">
        <v>40</v>
      </c>
      <c r="B183" s="176" t="s">
        <v>1177</v>
      </c>
      <c r="C183" s="176" t="s">
        <v>1175</v>
      </c>
      <c r="D183" s="150">
        <f t="shared" si="10"/>
        <v>6640</v>
      </c>
      <c r="E183" s="48"/>
      <c r="F183" s="48"/>
      <c r="G183" s="35"/>
      <c r="H183" s="35"/>
      <c r="I183" s="35"/>
      <c r="J183" s="35"/>
      <c r="K183" s="35"/>
      <c r="L183" s="35"/>
      <c r="M183" s="48"/>
      <c r="N183" s="48"/>
      <c r="O183" s="48"/>
      <c r="P183" s="48"/>
      <c r="Q183" s="48"/>
      <c r="R183" s="40"/>
      <c r="S183" s="40"/>
      <c r="T183" s="40"/>
      <c r="U183" s="40"/>
      <c r="V183" s="48"/>
      <c r="W183" s="48"/>
      <c r="X183" s="48"/>
      <c r="Y183" s="48"/>
      <c r="Z183" s="48"/>
      <c r="AA183" s="48"/>
      <c r="AB183" s="48"/>
      <c r="AC183" s="48"/>
      <c r="AD183" s="48">
        <v>6640</v>
      </c>
      <c r="AE183" s="48"/>
      <c r="AF183" s="48"/>
      <c r="AG183" s="48"/>
      <c r="AH183" s="48"/>
      <c r="AI183" s="49"/>
    </row>
    <row r="184" spans="1:35" x14ac:dyDescent="0.25">
      <c r="A184" s="48">
        <v>41</v>
      </c>
      <c r="B184" s="176" t="s">
        <v>1178</v>
      </c>
      <c r="C184" s="176" t="s">
        <v>1176</v>
      </c>
      <c r="D184" s="150">
        <f t="shared" si="10"/>
        <v>5000</v>
      </c>
      <c r="E184" s="48"/>
      <c r="F184" s="48"/>
      <c r="G184" s="35"/>
      <c r="H184" s="35"/>
      <c r="I184" s="35"/>
      <c r="J184" s="35"/>
      <c r="K184" s="35"/>
      <c r="L184" s="35"/>
      <c r="M184" s="48"/>
      <c r="N184" s="48"/>
      <c r="O184" s="48"/>
      <c r="P184" s="48"/>
      <c r="Q184" s="48"/>
      <c r="R184" s="40"/>
      <c r="S184" s="40"/>
      <c r="T184" s="40"/>
      <c r="U184" s="40"/>
      <c r="V184" s="48"/>
      <c r="W184" s="48"/>
      <c r="X184" s="48"/>
      <c r="Y184" s="48"/>
      <c r="Z184" s="48"/>
      <c r="AA184" s="48"/>
      <c r="AB184" s="48"/>
      <c r="AC184" s="48"/>
      <c r="AD184" s="48">
        <v>5000</v>
      </c>
      <c r="AE184" s="48"/>
      <c r="AF184" s="48"/>
      <c r="AG184" s="48"/>
      <c r="AH184" s="48"/>
      <c r="AI184" s="49"/>
    </row>
    <row r="185" spans="1:35" x14ac:dyDescent="0.25">
      <c r="A185" s="48">
        <v>42</v>
      </c>
      <c r="B185" s="166" t="s">
        <v>766</v>
      </c>
      <c r="C185" s="166" t="s">
        <v>765</v>
      </c>
      <c r="D185" s="150">
        <f t="shared" si="10"/>
        <v>0</v>
      </c>
      <c r="E185" s="48"/>
      <c r="F185" s="48"/>
      <c r="G185" s="35"/>
      <c r="H185" s="35"/>
      <c r="I185" s="35"/>
      <c r="J185" s="35"/>
      <c r="K185" s="35"/>
      <c r="L185" s="35"/>
      <c r="M185" s="48"/>
      <c r="N185" s="48"/>
      <c r="O185" s="48"/>
      <c r="P185" s="48"/>
      <c r="Q185" s="48"/>
      <c r="R185" s="40"/>
      <c r="S185" s="40"/>
      <c r="T185" s="40"/>
      <c r="U185" s="40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9"/>
    </row>
    <row r="186" spans="1:35" x14ac:dyDescent="0.25">
      <c r="A186" s="48">
        <v>43</v>
      </c>
      <c r="B186" s="166" t="s">
        <v>305</v>
      </c>
      <c r="C186" s="166" t="s">
        <v>304</v>
      </c>
      <c r="D186" s="150">
        <f t="shared" si="10"/>
        <v>160</v>
      </c>
      <c r="E186" s="48"/>
      <c r="F186" s="48"/>
      <c r="G186" s="35"/>
      <c r="H186" s="35">
        <v>160</v>
      </c>
      <c r="I186" s="35"/>
      <c r="J186" s="35"/>
      <c r="K186" s="35"/>
      <c r="L186" s="35"/>
      <c r="M186" s="48"/>
      <c r="N186" s="48"/>
      <c r="O186" s="48"/>
      <c r="P186" s="48"/>
      <c r="Q186" s="48"/>
      <c r="R186" s="40"/>
      <c r="S186" s="40"/>
      <c r="T186" s="40"/>
      <c r="U186" s="40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9"/>
    </row>
    <row r="187" spans="1:35" x14ac:dyDescent="0.25">
      <c r="A187" s="48">
        <v>44</v>
      </c>
      <c r="B187" s="166" t="s">
        <v>306</v>
      </c>
      <c r="C187" s="166" t="s">
        <v>307</v>
      </c>
      <c r="D187" s="150">
        <f t="shared" si="10"/>
        <v>500</v>
      </c>
      <c r="E187" s="48"/>
      <c r="F187" s="48"/>
      <c r="G187" s="35"/>
      <c r="H187" s="35">
        <v>500</v>
      </c>
      <c r="I187" s="35"/>
      <c r="J187" s="35"/>
      <c r="K187" s="35"/>
      <c r="L187" s="35"/>
      <c r="M187" s="48"/>
      <c r="N187" s="48"/>
      <c r="O187" s="48"/>
      <c r="P187" s="48"/>
      <c r="Q187" s="48"/>
      <c r="R187" s="40"/>
      <c r="S187" s="40"/>
      <c r="T187" s="40"/>
      <c r="U187" s="40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9"/>
    </row>
    <row r="188" spans="1:35" x14ac:dyDescent="0.25">
      <c r="A188" s="48">
        <v>45</v>
      </c>
      <c r="B188" s="166" t="s">
        <v>449</v>
      </c>
      <c r="C188" s="166" t="s">
        <v>448</v>
      </c>
      <c r="D188" s="150">
        <f t="shared" si="10"/>
        <v>0</v>
      </c>
      <c r="E188" s="48"/>
      <c r="F188" s="48"/>
      <c r="G188" s="35"/>
      <c r="H188" s="35"/>
      <c r="I188" s="35"/>
      <c r="J188" s="35"/>
      <c r="K188" s="35"/>
      <c r="L188" s="35"/>
      <c r="M188" s="48"/>
      <c r="N188" s="48"/>
      <c r="O188" s="48"/>
      <c r="P188" s="48"/>
      <c r="Q188" s="48"/>
      <c r="R188" s="40"/>
      <c r="S188" s="40"/>
      <c r="T188" s="40"/>
      <c r="U188" s="40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9"/>
    </row>
    <row r="189" spans="1:35" x14ac:dyDescent="0.25">
      <c r="A189" s="48">
        <v>46</v>
      </c>
      <c r="B189" s="166" t="s">
        <v>662</v>
      </c>
      <c r="C189" s="166" t="s">
        <v>661</v>
      </c>
      <c r="D189" s="150">
        <f t="shared" si="10"/>
        <v>12886</v>
      </c>
      <c r="E189" s="48"/>
      <c r="F189" s="48"/>
      <c r="G189" s="35"/>
      <c r="H189" s="35"/>
      <c r="I189" s="35"/>
      <c r="J189" s="35"/>
      <c r="K189" s="35"/>
      <c r="L189" s="35"/>
      <c r="M189" s="48"/>
      <c r="N189" s="48"/>
      <c r="O189" s="48"/>
      <c r="P189" s="48"/>
      <c r="Q189" s="48"/>
      <c r="R189" s="40"/>
      <c r="S189" s="40"/>
      <c r="T189" s="40"/>
      <c r="U189" s="40"/>
      <c r="V189" s="48"/>
      <c r="W189" s="48"/>
      <c r="X189" s="48">
        <v>5772</v>
      </c>
      <c r="Y189" s="48">
        <v>919</v>
      </c>
      <c r="Z189" s="48"/>
      <c r="AA189" s="48"/>
      <c r="AB189" s="48">
        <v>9</v>
      </c>
      <c r="AC189" s="48"/>
      <c r="AD189" s="48">
        <v>720</v>
      </c>
      <c r="AE189" s="48">
        <v>1760</v>
      </c>
      <c r="AF189" s="48">
        <v>1104</v>
      </c>
      <c r="AG189" s="48">
        <v>2412</v>
      </c>
      <c r="AH189" s="48">
        <v>4</v>
      </c>
      <c r="AI189" s="49">
        <v>186</v>
      </c>
    </row>
    <row r="190" spans="1:35" x14ac:dyDescent="0.25">
      <c r="A190" s="48">
        <v>47</v>
      </c>
      <c r="B190" s="166" t="s">
        <v>220</v>
      </c>
      <c r="C190" s="166" t="s">
        <v>219</v>
      </c>
      <c r="D190" s="150">
        <f t="shared" si="10"/>
        <v>0</v>
      </c>
      <c r="E190" s="48"/>
      <c r="F190" s="48"/>
      <c r="G190" s="35"/>
      <c r="H190" s="35"/>
      <c r="I190" s="35"/>
      <c r="J190" s="35"/>
      <c r="K190" s="35"/>
      <c r="L190" s="35"/>
      <c r="M190" s="48"/>
      <c r="N190" s="48"/>
      <c r="O190" s="48"/>
      <c r="P190" s="48"/>
      <c r="Q190" s="48"/>
      <c r="R190" s="40"/>
      <c r="S190" s="40"/>
      <c r="T190" s="40"/>
      <c r="U190" s="40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9"/>
    </row>
    <row r="191" spans="1:35" x14ac:dyDescent="0.25">
      <c r="A191" s="48">
        <v>48</v>
      </c>
      <c r="B191" s="166" t="s">
        <v>152</v>
      </c>
      <c r="C191" s="166" t="s">
        <v>103</v>
      </c>
      <c r="D191" s="150">
        <f t="shared" si="10"/>
        <v>4809</v>
      </c>
      <c r="E191" s="48">
        <v>609</v>
      </c>
      <c r="F191" s="48"/>
      <c r="G191" s="35"/>
      <c r="H191" s="35"/>
      <c r="I191" s="35"/>
      <c r="J191" s="35"/>
      <c r="K191" s="35"/>
      <c r="L191" s="35"/>
      <c r="M191" s="48"/>
      <c r="N191" s="48">
        <v>4200</v>
      </c>
      <c r="O191" s="48"/>
      <c r="P191" s="48"/>
      <c r="Q191" s="48"/>
      <c r="R191" s="40"/>
      <c r="S191" s="40"/>
      <c r="T191" s="40"/>
      <c r="U191" s="40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9"/>
    </row>
    <row r="192" spans="1:35" x14ac:dyDescent="0.25">
      <c r="A192" s="48">
        <v>49</v>
      </c>
      <c r="B192" s="166" t="s">
        <v>898</v>
      </c>
      <c r="C192" s="166" t="s">
        <v>896</v>
      </c>
      <c r="D192" s="150">
        <f t="shared" si="10"/>
        <v>0</v>
      </c>
      <c r="E192" s="48"/>
      <c r="F192" s="48"/>
      <c r="G192" s="35"/>
      <c r="H192" s="35"/>
      <c r="I192" s="35"/>
      <c r="J192" s="35"/>
      <c r="K192" s="35"/>
      <c r="L192" s="35"/>
      <c r="M192" s="48"/>
      <c r="N192" s="48"/>
      <c r="O192" s="48"/>
      <c r="P192" s="48"/>
      <c r="Q192" s="48"/>
      <c r="R192" s="40"/>
      <c r="S192" s="40"/>
      <c r="T192" s="40"/>
      <c r="U192" s="40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9"/>
    </row>
    <row r="193" spans="1:35" x14ac:dyDescent="0.25">
      <c r="A193" s="48">
        <v>50</v>
      </c>
      <c r="B193" s="166" t="s">
        <v>899</v>
      </c>
      <c r="C193" s="166" t="s">
        <v>897</v>
      </c>
      <c r="D193" s="150">
        <f t="shared" si="10"/>
        <v>2320</v>
      </c>
      <c r="E193" s="48"/>
      <c r="F193" s="48"/>
      <c r="G193" s="35"/>
      <c r="H193" s="35"/>
      <c r="I193" s="35"/>
      <c r="J193" s="35"/>
      <c r="K193" s="35">
        <v>320</v>
      </c>
      <c r="L193" s="35"/>
      <c r="M193" s="48"/>
      <c r="N193" s="48"/>
      <c r="O193" s="48"/>
      <c r="P193" s="48"/>
      <c r="Q193" s="48"/>
      <c r="R193" s="40"/>
      <c r="S193" s="40"/>
      <c r="T193" s="40"/>
      <c r="U193" s="40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>
        <v>2000</v>
      </c>
      <c r="AH193" s="48"/>
      <c r="AI193" s="49"/>
    </row>
    <row r="194" spans="1:35" x14ac:dyDescent="0.25">
      <c r="A194" s="48">
        <v>51</v>
      </c>
      <c r="B194" s="166" t="s">
        <v>798</v>
      </c>
      <c r="C194" s="166" t="s">
        <v>797</v>
      </c>
      <c r="D194" s="150">
        <f t="shared" si="10"/>
        <v>880</v>
      </c>
      <c r="E194" s="48"/>
      <c r="F194" s="48"/>
      <c r="G194" s="35"/>
      <c r="H194" s="35">
        <v>880</v>
      </c>
      <c r="I194" s="35"/>
      <c r="J194" s="35"/>
      <c r="K194" s="35"/>
      <c r="L194" s="35"/>
      <c r="M194" s="48"/>
      <c r="N194" s="48"/>
      <c r="O194" s="48"/>
      <c r="P194" s="48"/>
      <c r="Q194" s="48"/>
      <c r="R194" s="40"/>
      <c r="S194" s="40"/>
      <c r="T194" s="40"/>
      <c r="U194" s="40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9"/>
    </row>
    <row r="195" spans="1:35" x14ac:dyDescent="0.25">
      <c r="A195" s="48">
        <v>52</v>
      </c>
      <c r="B195" s="166" t="s">
        <v>800</v>
      </c>
      <c r="C195" s="166" t="s">
        <v>799</v>
      </c>
      <c r="D195" s="150">
        <f t="shared" si="10"/>
        <v>26600</v>
      </c>
      <c r="E195" s="48"/>
      <c r="F195" s="48"/>
      <c r="G195" s="35">
        <v>15000</v>
      </c>
      <c r="H195" s="35"/>
      <c r="I195" s="35">
        <v>4200</v>
      </c>
      <c r="J195" s="35">
        <v>7400</v>
      </c>
      <c r="K195" s="35"/>
      <c r="L195" s="35"/>
      <c r="M195" s="48"/>
      <c r="N195" s="48"/>
      <c r="O195" s="48"/>
      <c r="P195" s="48"/>
      <c r="Q195" s="48"/>
      <c r="R195" s="40"/>
      <c r="S195" s="40"/>
      <c r="T195" s="40"/>
      <c r="U195" s="40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9"/>
    </row>
    <row r="196" spans="1:35" x14ac:dyDescent="0.25">
      <c r="A196" s="48">
        <v>53</v>
      </c>
      <c r="B196" s="166" t="s">
        <v>592</v>
      </c>
      <c r="C196" s="166" t="s">
        <v>585</v>
      </c>
      <c r="D196" s="150">
        <f t="shared" si="10"/>
        <v>0</v>
      </c>
      <c r="E196" s="48"/>
      <c r="F196" s="48"/>
      <c r="G196" s="35"/>
      <c r="H196" s="35"/>
      <c r="I196" s="35"/>
      <c r="J196" s="35"/>
      <c r="K196" s="35"/>
      <c r="L196" s="35"/>
      <c r="M196" s="48"/>
      <c r="N196" s="48"/>
      <c r="O196" s="48"/>
      <c r="P196" s="48"/>
      <c r="Q196" s="48"/>
      <c r="R196" s="40"/>
      <c r="S196" s="40"/>
      <c r="T196" s="40"/>
      <c r="U196" s="40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9"/>
    </row>
    <row r="197" spans="1:35" x14ac:dyDescent="0.25">
      <c r="A197" s="48">
        <v>54</v>
      </c>
      <c r="B197" s="166" t="s">
        <v>593</v>
      </c>
      <c r="C197" s="166" t="s">
        <v>586</v>
      </c>
      <c r="D197" s="150">
        <f t="shared" si="10"/>
        <v>0</v>
      </c>
      <c r="E197" s="48"/>
      <c r="F197" s="48"/>
      <c r="G197" s="35"/>
      <c r="H197" s="35"/>
      <c r="I197" s="35"/>
      <c r="J197" s="35"/>
      <c r="K197" s="35"/>
      <c r="L197" s="35"/>
      <c r="M197" s="48"/>
      <c r="N197" s="48"/>
      <c r="O197" s="48"/>
      <c r="P197" s="48"/>
      <c r="Q197" s="48"/>
      <c r="R197" s="40"/>
      <c r="S197" s="40"/>
      <c r="T197" s="40"/>
      <c r="U197" s="40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9"/>
    </row>
    <row r="198" spans="1:35" x14ac:dyDescent="0.25">
      <c r="A198" s="48">
        <v>55</v>
      </c>
      <c r="B198" s="166" t="s">
        <v>594</v>
      </c>
      <c r="C198" s="166" t="s">
        <v>587</v>
      </c>
      <c r="D198" s="150">
        <f t="shared" si="10"/>
        <v>1700</v>
      </c>
      <c r="E198" s="48"/>
      <c r="F198" s="48"/>
      <c r="G198" s="35"/>
      <c r="H198" s="35"/>
      <c r="I198" s="35"/>
      <c r="J198" s="35"/>
      <c r="K198" s="35">
        <v>1300</v>
      </c>
      <c r="L198" s="35"/>
      <c r="M198" s="48"/>
      <c r="N198" s="48"/>
      <c r="O198" s="48"/>
      <c r="P198" s="48"/>
      <c r="Q198" s="48"/>
      <c r="R198" s="40"/>
      <c r="S198" s="40"/>
      <c r="T198" s="40"/>
      <c r="U198" s="40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>
        <v>250</v>
      </c>
      <c r="AI198" s="49">
        <v>150</v>
      </c>
    </row>
    <row r="199" spans="1:35" x14ac:dyDescent="0.25">
      <c r="A199" s="48">
        <v>56</v>
      </c>
      <c r="B199" s="166" t="s">
        <v>595</v>
      </c>
      <c r="C199" s="166" t="s">
        <v>588</v>
      </c>
      <c r="D199" s="150">
        <f t="shared" si="10"/>
        <v>590</v>
      </c>
      <c r="E199" s="48"/>
      <c r="F199" s="48"/>
      <c r="G199" s="35"/>
      <c r="H199" s="35"/>
      <c r="I199" s="35"/>
      <c r="J199" s="35"/>
      <c r="K199" s="35">
        <v>588</v>
      </c>
      <c r="L199" s="35"/>
      <c r="M199" s="48"/>
      <c r="N199" s="48"/>
      <c r="O199" s="48"/>
      <c r="P199" s="48"/>
      <c r="Q199" s="48"/>
      <c r="R199" s="40"/>
      <c r="S199" s="40"/>
      <c r="T199" s="40"/>
      <c r="U199" s="40"/>
      <c r="V199" s="48"/>
      <c r="W199" s="48"/>
      <c r="X199" s="48"/>
      <c r="Y199" s="48"/>
      <c r="Z199" s="48"/>
      <c r="AA199" s="48"/>
      <c r="AB199" s="48"/>
      <c r="AC199" s="48">
        <v>2</v>
      </c>
      <c r="AD199" s="48"/>
      <c r="AE199" s="48"/>
      <c r="AF199" s="48"/>
      <c r="AG199" s="48"/>
      <c r="AH199" s="48"/>
      <c r="AI199" s="49"/>
    </row>
    <row r="200" spans="1:35" x14ac:dyDescent="0.25">
      <c r="A200" s="48">
        <v>57</v>
      </c>
      <c r="B200" s="166" t="s">
        <v>596</v>
      </c>
      <c r="C200" s="166" t="s">
        <v>589</v>
      </c>
      <c r="D200" s="150">
        <f t="shared" si="10"/>
        <v>260</v>
      </c>
      <c r="E200" s="48"/>
      <c r="F200" s="48"/>
      <c r="G200" s="35"/>
      <c r="H200" s="35"/>
      <c r="I200" s="35"/>
      <c r="J200" s="35"/>
      <c r="K200" s="35"/>
      <c r="L200" s="35">
        <v>260</v>
      </c>
      <c r="M200" s="48"/>
      <c r="N200" s="48"/>
      <c r="O200" s="48"/>
      <c r="P200" s="48"/>
      <c r="Q200" s="48"/>
      <c r="R200" s="40"/>
      <c r="S200" s="40"/>
      <c r="T200" s="40"/>
      <c r="U200" s="40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9"/>
    </row>
    <row r="201" spans="1:35" x14ac:dyDescent="0.25">
      <c r="A201" s="48">
        <v>58</v>
      </c>
      <c r="B201" s="166" t="s">
        <v>597</v>
      </c>
      <c r="C201" s="166" t="s">
        <v>590</v>
      </c>
      <c r="D201" s="150">
        <f t="shared" si="10"/>
        <v>180</v>
      </c>
      <c r="E201" s="48"/>
      <c r="F201" s="48"/>
      <c r="G201" s="35"/>
      <c r="H201" s="35"/>
      <c r="I201" s="35"/>
      <c r="J201" s="35"/>
      <c r="K201" s="35"/>
      <c r="L201" s="35">
        <v>180</v>
      </c>
      <c r="M201" s="48"/>
      <c r="N201" s="48"/>
      <c r="O201" s="48"/>
      <c r="P201" s="48"/>
      <c r="Q201" s="48"/>
      <c r="R201" s="40"/>
      <c r="S201" s="40"/>
      <c r="T201" s="40"/>
      <c r="U201" s="40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9"/>
    </row>
    <row r="202" spans="1:35" x14ac:dyDescent="0.25">
      <c r="A202" s="48">
        <v>59</v>
      </c>
      <c r="B202" s="166" t="s">
        <v>598</v>
      </c>
      <c r="C202" s="166" t="s">
        <v>591</v>
      </c>
      <c r="D202" s="150">
        <f t="shared" si="10"/>
        <v>0</v>
      </c>
      <c r="E202" s="48"/>
      <c r="F202" s="48"/>
      <c r="G202" s="35"/>
      <c r="H202" s="35"/>
      <c r="I202" s="35"/>
      <c r="J202" s="35"/>
      <c r="K202" s="35"/>
      <c r="L202" s="35"/>
      <c r="M202" s="48"/>
      <c r="N202" s="48"/>
      <c r="O202" s="48"/>
      <c r="P202" s="48"/>
      <c r="Q202" s="48"/>
      <c r="R202" s="40"/>
      <c r="S202" s="40"/>
      <c r="T202" s="40"/>
      <c r="U202" s="40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9"/>
    </row>
    <row r="203" spans="1:35" x14ac:dyDescent="0.25">
      <c r="A203" s="48">
        <v>60</v>
      </c>
      <c r="B203" s="166" t="s">
        <v>445</v>
      </c>
      <c r="C203" s="166" t="s">
        <v>444</v>
      </c>
      <c r="D203" s="150">
        <f t="shared" si="10"/>
        <v>0</v>
      </c>
      <c r="E203" s="48"/>
      <c r="F203" s="48"/>
      <c r="G203" s="35"/>
      <c r="H203" s="35"/>
      <c r="I203" s="35"/>
      <c r="J203" s="35"/>
      <c r="K203" s="35"/>
      <c r="L203" s="35"/>
      <c r="M203" s="48"/>
      <c r="N203" s="48"/>
      <c r="O203" s="48"/>
      <c r="P203" s="48"/>
      <c r="Q203" s="48"/>
      <c r="R203" s="40"/>
      <c r="S203" s="40"/>
      <c r="T203" s="40"/>
      <c r="U203" s="40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9"/>
    </row>
    <row r="204" spans="1:35" x14ac:dyDescent="0.25">
      <c r="A204" s="48">
        <v>61</v>
      </c>
      <c r="B204" s="166" t="s">
        <v>605</v>
      </c>
      <c r="C204" s="166" t="s">
        <v>599</v>
      </c>
      <c r="D204" s="150">
        <f t="shared" si="10"/>
        <v>0</v>
      </c>
      <c r="E204" s="48"/>
      <c r="F204" s="48"/>
      <c r="G204" s="35"/>
      <c r="H204" s="35"/>
      <c r="I204" s="35"/>
      <c r="J204" s="35"/>
      <c r="K204" s="35"/>
      <c r="L204" s="35"/>
      <c r="M204" s="48"/>
      <c r="N204" s="48"/>
      <c r="O204" s="48"/>
      <c r="P204" s="48"/>
      <c r="Q204" s="48"/>
      <c r="R204" s="40"/>
      <c r="S204" s="40"/>
      <c r="T204" s="40"/>
      <c r="U204" s="40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9"/>
    </row>
    <row r="205" spans="1:35" x14ac:dyDescent="0.25">
      <c r="A205" s="48">
        <v>62</v>
      </c>
      <c r="B205" s="166" t="s">
        <v>606</v>
      </c>
      <c r="C205" s="166" t="s">
        <v>600</v>
      </c>
      <c r="D205" s="150">
        <f t="shared" si="10"/>
        <v>0</v>
      </c>
      <c r="E205" s="48"/>
      <c r="F205" s="48"/>
      <c r="G205" s="35"/>
      <c r="H205" s="35"/>
      <c r="I205" s="35"/>
      <c r="J205" s="35"/>
      <c r="K205" s="35"/>
      <c r="L205" s="35"/>
      <c r="M205" s="48"/>
      <c r="N205" s="48"/>
      <c r="O205" s="48"/>
      <c r="P205" s="48"/>
      <c r="Q205" s="48"/>
      <c r="R205" s="40"/>
      <c r="S205" s="40"/>
      <c r="T205" s="40"/>
      <c r="U205" s="40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9"/>
    </row>
    <row r="206" spans="1:35" x14ac:dyDescent="0.25">
      <c r="A206" s="48">
        <v>63</v>
      </c>
      <c r="B206" s="166" t="s">
        <v>607</v>
      </c>
      <c r="C206" s="166" t="s">
        <v>601</v>
      </c>
      <c r="D206" s="150">
        <f t="shared" si="10"/>
        <v>720</v>
      </c>
      <c r="E206" s="48"/>
      <c r="F206" s="48"/>
      <c r="G206" s="35"/>
      <c r="H206" s="35"/>
      <c r="I206" s="35"/>
      <c r="J206" s="35"/>
      <c r="K206" s="35">
        <v>720</v>
      </c>
      <c r="L206" s="35"/>
      <c r="M206" s="48"/>
      <c r="N206" s="48"/>
      <c r="O206" s="48"/>
      <c r="P206" s="48"/>
      <c r="Q206" s="48"/>
      <c r="R206" s="40"/>
      <c r="S206" s="40"/>
      <c r="T206" s="40"/>
      <c r="U206" s="40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9"/>
    </row>
    <row r="207" spans="1:35" x14ac:dyDescent="0.25">
      <c r="A207" s="48">
        <v>64</v>
      </c>
      <c r="B207" s="166" t="s">
        <v>608</v>
      </c>
      <c r="C207" s="166" t="s">
        <v>602</v>
      </c>
      <c r="D207" s="150">
        <f t="shared" si="10"/>
        <v>0</v>
      </c>
      <c r="E207" s="48"/>
      <c r="F207" s="48"/>
      <c r="G207" s="35"/>
      <c r="H207" s="35"/>
      <c r="I207" s="35"/>
      <c r="J207" s="35"/>
      <c r="K207" s="35"/>
      <c r="L207" s="35"/>
      <c r="M207" s="48"/>
      <c r="N207" s="48"/>
      <c r="O207" s="48"/>
      <c r="P207" s="48"/>
      <c r="Q207" s="48"/>
      <c r="R207" s="40"/>
      <c r="S207" s="40"/>
      <c r="T207" s="40"/>
      <c r="U207" s="40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9"/>
    </row>
    <row r="208" spans="1:35" x14ac:dyDescent="0.25">
      <c r="A208" s="48">
        <v>65</v>
      </c>
      <c r="B208" s="166" t="s">
        <v>609</v>
      </c>
      <c r="C208" s="166" t="s">
        <v>603</v>
      </c>
      <c r="D208" s="150">
        <f t="shared" si="10"/>
        <v>9600</v>
      </c>
      <c r="E208" s="48"/>
      <c r="F208" s="48"/>
      <c r="G208" s="35"/>
      <c r="H208" s="35"/>
      <c r="I208" s="35"/>
      <c r="J208" s="35"/>
      <c r="K208" s="35"/>
      <c r="L208" s="35"/>
      <c r="M208" s="48"/>
      <c r="N208" s="48"/>
      <c r="O208" s="48"/>
      <c r="P208" s="48"/>
      <c r="Q208" s="48"/>
      <c r="R208" s="40"/>
      <c r="S208" s="40"/>
      <c r="T208" s="40"/>
      <c r="U208" s="40"/>
      <c r="V208" s="48"/>
      <c r="W208" s="48"/>
      <c r="X208" s="48"/>
      <c r="Y208" s="48"/>
      <c r="Z208" s="48"/>
      <c r="AA208" s="48">
        <v>3600</v>
      </c>
      <c r="AB208" s="48"/>
      <c r="AC208" s="48"/>
      <c r="AD208" s="48"/>
      <c r="AE208" s="48"/>
      <c r="AF208" s="48"/>
      <c r="AG208" s="48"/>
      <c r="AH208" s="48">
        <v>5844</v>
      </c>
      <c r="AI208" s="49">
        <v>156</v>
      </c>
    </row>
    <row r="209" spans="1:35" x14ac:dyDescent="0.25">
      <c r="A209" s="48">
        <v>66</v>
      </c>
      <c r="B209" s="166" t="s">
        <v>610</v>
      </c>
      <c r="C209" s="166" t="s">
        <v>604</v>
      </c>
      <c r="D209" s="150">
        <f t="shared" ref="D209:D240" si="11">SUM(E209:AI209)</f>
        <v>680</v>
      </c>
      <c r="E209" s="48"/>
      <c r="F209" s="48"/>
      <c r="G209" s="35"/>
      <c r="H209" s="35"/>
      <c r="I209" s="35"/>
      <c r="J209" s="35"/>
      <c r="K209" s="35">
        <v>680</v>
      </c>
      <c r="L209" s="35"/>
      <c r="M209" s="48"/>
      <c r="N209" s="48"/>
      <c r="O209" s="48"/>
      <c r="P209" s="48"/>
      <c r="Q209" s="48"/>
      <c r="R209" s="40"/>
      <c r="S209" s="40"/>
      <c r="T209" s="40"/>
      <c r="U209" s="40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9"/>
    </row>
    <row r="210" spans="1:35" x14ac:dyDescent="0.25">
      <c r="A210" s="48">
        <v>67</v>
      </c>
      <c r="B210" s="166" t="s">
        <v>300</v>
      </c>
      <c r="C210" s="166" t="s">
        <v>299</v>
      </c>
      <c r="D210" s="150">
        <f t="shared" si="11"/>
        <v>500</v>
      </c>
      <c r="E210" s="48"/>
      <c r="F210" s="48"/>
      <c r="G210" s="35"/>
      <c r="H210" s="35"/>
      <c r="I210" s="35"/>
      <c r="J210" s="35"/>
      <c r="K210" s="35"/>
      <c r="L210" s="35"/>
      <c r="M210" s="48"/>
      <c r="N210" s="48"/>
      <c r="O210" s="48"/>
      <c r="P210" s="48"/>
      <c r="Q210" s="48"/>
      <c r="R210" s="40"/>
      <c r="S210" s="40"/>
      <c r="T210" s="40"/>
      <c r="U210" s="40"/>
      <c r="V210" s="48"/>
      <c r="W210" s="48"/>
      <c r="X210" s="48"/>
      <c r="Y210" s="48"/>
      <c r="Z210" s="48">
        <v>500</v>
      </c>
      <c r="AA210" s="48"/>
      <c r="AB210" s="48"/>
      <c r="AC210" s="48"/>
      <c r="AD210" s="48"/>
      <c r="AE210" s="48"/>
      <c r="AF210" s="48"/>
      <c r="AG210" s="48"/>
      <c r="AH210" s="48"/>
      <c r="AI210" s="49"/>
    </row>
    <row r="211" spans="1:35" x14ac:dyDescent="0.25">
      <c r="A211" s="48">
        <v>68</v>
      </c>
      <c r="B211" s="176" t="s">
        <v>944</v>
      </c>
      <c r="C211" s="176" t="s">
        <v>934</v>
      </c>
      <c r="D211" s="150">
        <f t="shared" si="11"/>
        <v>4852</v>
      </c>
      <c r="E211" s="48"/>
      <c r="F211" s="48"/>
      <c r="G211" s="35"/>
      <c r="H211" s="35"/>
      <c r="I211" s="35"/>
      <c r="J211" s="35"/>
      <c r="K211" s="35"/>
      <c r="L211" s="35"/>
      <c r="M211" s="48"/>
      <c r="N211" s="48"/>
      <c r="O211" s="48"/>
      <c r="P211" s="48"/>
      <c r="Q211" s="48"/>
      <c r="R211" s="40"/>
      <c r="S211" s="40"/>
      <c r="T211" s="40"/>
      <c r="U211" s="40"/>
      <c r="V211" s="48"/>
      <c r="W211" s="48"/>
      <c r="X211" s="48"/>
      <c r="Y211" s="48"/>
      <c r="Z211" s="48"/>
      <c r="AA211" s="48"/>
      <c r="AB211" s="48"/>
      <c r="AC211" s="48"/>
      <c r="AD211" s="48">
        <v>500</v>
      </c>
      <c r="AE211" s="48"/>
      <c r="AF211" s="48"/>
      <c r="AG211" s="48">
        <v>4352</v>
      </c>
      <c r="AH211" s="48"/>
      <c r="AI211" s="49"/>
    </row>
    <row r="212" spans="1:35" x14ac:dyDescent="0.25">
      <c r="A212" s="48">
        <v>69</v>
      </c>
      <c r="B212" s="176" t="s">
        <v>945</v>
      </c>
      <c r="C212" s="176" t="s">
        <v>935</v>
      </c>
      <c r="D212" s="150">
        <f t="shared" si="11"/>
        <v>4790</v>
      </c>
      <c r="E212" s="48"/>
      <c r="F212" s="48"/>
      <c r="G212" s="35"/>
      <c r="H212" s="35"/>
      <c r="I212" s="35"/>
      <c r="J212" s="35"/>
      <c r="K212" s="35"/>
      <c r="L212" s="35"/>
      <c r="M212" s="48"/>
      <c r="N212" s="48"/>
      <c r="O212" s="48"/>
      <c r="P212" s="48"/>
      <c r="Q212" s="48"/>
      <c r="R212" s="40"/>
      <c r="S212" s="40"/>
      <c r="T212" s="40"/>
      <c r="U212" s="40"/>
      <c r="V212" s="48"/>
      <c r="W212" s="48"/>
      <c r="X212" s="48"/>
      <c r="Y212" s="48"/>
      <c r="Z212" s="48"/>
      <c r="AA212" s="48"/>
      <c r="AB212" s="48"/>
      <c r="AC212" s="48"/>
      <c r="AD212" s="48">
        <v>500</v>
      </c>
      <c r="AE212" s="48"/>
      <c r="AF212" s="48"/>
      <c r="AG212" s="48"/>
      <c r="AH212" s="48">
        <v>3540</v>
      </c>
      <c r="AI212" s="49">
        <v>750</v>
      </c>
    </row>
    <row r="213" spans="1:35" x14ac:dyDescent="0.25">
      <c r="A213" s="48">
        <v>70</v>
      </c>
      <c r="B213" s="176" t="s">
        <v>946</v>
      </c>
      <c r="C213" s="176" t="s">
        <v>936</v>
      </c>
      <c r="D213" s="150">
        <f t="shared" si="11"/>
        <v>0</v>
      </c>
      <c r="E213" s="48"/>
      <c r="F213" s="48"/>
      <c r="G213" s="35"/>
      <c r="H213" s="35"/>
      <c r="I213" s="35"/>
      <c r="J213" s="35"/>
      <c r="K213" s="35"/>
      <c r="L213" s="35"/>
      <c r="M213" s="48"/>
      <c r="N213" s="48"/>
      <c r="O213" s="48"/>
      <c r="P213" s="48"/>
      <c r="Q213" s="48"/>
      <c r="R213" s="40"/>
      <c r="S213" s="40"/>
      <c r="T213" s="40"/>
      <c r="U213" s="40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9"/>
    </row>
    <row r="214" spans="1:35" x14ac:dyDescent="0.25">
      <c r="A214" s="48">
        <v>71</v>
      </c>
      <c r="B214" s="176" t="s">
        <v>947</v>
      </c>
      <c r="C214" s="176" t="s">
        <v>937</v>
      </c>
      <c r="D214" s="150">
        <f t="shared" si="11"/>
        <v>50</v>
      </c>
      <c r="E214" s="48"/>
      <c r="F214" s="48"/>
      <c r="G214" s="35"/>
      <c r="H214" s="35"/>
      <c r="I214" s="35"/>
      <c r="J214" s="35"/>
      <c r="K214" s="35"/>
      <c r="L214" s="35"/>
      <c r="M214" s="48"/>
      <c r="N214" s="48"/>
      <c r="O214" s="48">
        <v>50</v>
      </c>
      <c r="P214" s="48"/>
      <c r="Q214" s="48"/>
      <c r="R214" s="40"/>
      <c r="S214" s="40"/>
      <c r="T214" s="40"/>
      <c r="U214" s="40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9"/>
    </row>
    <row r="215" spans="1:35" x14ac:dyDescent="0.25">
      <c r="A215" s="48">
        <v>72</v>
      </c>
      <c r="B215" s="176" t="s">
        <v>948</v>
      </c>
      <c r="C215" s="176" t="s">
        <v>938</v>
      </c>
      <c r="D215" s="150">
        <f t="shared" si="11"/>
        <v>50</v>
      </c>
      <c r="E215" s="48"/>
      <c r="F215" s="48"/>
      <c r="G215" s="35"/>
      <c r="H215" s="35"/>
      <c r="I215" s="35"/>
      <c r="J215" s="35"/>
      <c r="K215" s="35"/>
      <c r="L215" s="35"/>
      <c r="M215" s="48"/>
      <c r="N215" s="48"/>
      <c r="O215" s="48">
        <v>50</v>
      </c>
      <c r="P215" s="48"/>
      <c r="Q215" s="48"/>
      <c r="R215" s="40"/>
      <c r="S215" s="40"/>
      <c r="T215" s="40"/>
      <c r="U215" s="40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9"/>
    </row>
    <row r="216" spans="1:35" x14ac:dyDescent="0.25">
      <c r="A216" s="48">
        <v>73</v>
      </c>
      <c r="B216" s="176" t="s">
        <v>949</v>
      </c>
      <c r="C216" s="176" t="s">
        <v>939</v>
      </c>
      <c r="D216" s="150">
        <f t="shared" si="11"/>
        <v>50</v>
      </c>
      <c r="E216" s="48"/>
      <c r="F216" s="48"/>
      <c r="G216" s="35"/>
      <c r="H216" s="35"/>
      <c r="I216" s="35"/>
      <c r="J216" s="35"/>
      <c r="K216" s="35"/>
      <c r="L216" s="35"/>
      <c r="M216" s="48"/>
      <c r="N216" s="48"/>
      <c r="O216" s="48">
        <v>50</v>
      </c>
      <c r="P216" s="48"/>
      <c r="Q216" s="48"/>
      <c r="R216" s="40"/>
      <c r="S216" s="40"/>
      <c r="T216" s="40"/>
      <c r="U216" s="40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9"/>
    </row>
    <row r="217" spans="1:35" x14ac:dyDescent="0.25">
      <c r="A217" s="48">
        <v>74</v>
      </c>
      <c r="B217" s="176" t="s">
        <v>950</v>
      </c>
      <c r="C217" s="176" t="s">
        <v>940</v>
      </c>
      <c r="D217" s="150">
        <f t="shared" si="11"/>
        <v>0</v>
      </c>
      <c r="E217" s="48"/>
      <c r="F217" s="48"/>
      <c r="G217" s="35"/>
      <c r="H217" s="35"/>
      <c r="I217" s="35"/>
      <c r="J217" s="35"/>
      <c r="K217" s="35"/>
      <c r="L217" s="35"/>
      <c r="M217" s="48"/>
      <c r="N217" s="48"/>
      <c r="O217" s="48"/>
      <c r="P217" s="48"/>
      <c r="Q217" s="48"/>
      <c r="R217" s="40"/>
      <c r="S217" s="40"/>
      <c r="T217" s="40"/>
      <c r="U217" s="40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9"/>
    </row>
    <row r="218" spans="1:35" x14ac:dyDescent="0.25">
      <c r="A218" s="48">
        <v>75</v>
      </c>
      <c r="B218" s="176" t="s">
        <v>951</v>
      </c>
      <c r="C218" s="176" t="s">
        <v>941</v>
      </c>
      <c r="D218" s="150">
        <f t="shared" si="11"/>
        <v>250</v>
      </c>
      <c r="E218" s="48"/>
      <c r="F218" s="48"/>
      <c r="G218" s="35"/>
      <c r="H218" s="35"/>
      <c r="I218" s="35"/>
      <c r="J218" s="35"/>
      <c r="K218" s="35"/>
      <c r="L218" s="35"/>
      <c r="M218" s="48"/>
      <c r="N218" s="48"/>
      <c r="O218" s="48">
        <v>250</v>
      </c>
      <c r="P218" s="48"/>
      <c r="Q218" s="48"/>
      <c r="R218" s="40"/>
      <c r="S218" s="40"/>
      <c r="T218" s="40"/>
      <c r="U218" s="40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9"/>
    </row>
    <row r="219" spans="1:35" x14ac:dyDescent="0.25">
      <c r="A219" s="48">
        <v>76</v>
      </c>
      <c r="B219" s="176" t="s">
        <v>952</v>
      </c>
      <c r="C219" s="176" t="s">
        <v>942</v>
      </c>
      <c r="D219" s="150">
        <f t="shared" si="11"/>
        <v>250</v>
      </c>
      <c r="E219" s="48"/>
      <c r="F219" s="48"/>
      <c r="G219" s="35"/>
      <c r="H219" s="35"/>
      <c r="I219" s="35"/>
      <c r="J219" s="35"/>
      <c r="K219" s="35"/>
      <c r="L219" s="35"/>
      <c r="M219" s="48"/>
      <c r="N219" s="48"/>
      <c r="O219" s="48">
        <v>244</v>
      </c>
      <c r="P219" s="48"/>
      <c r="Q219" s="48"/>
      <c r="R219" s="40"/>
      <c r="S219" s="40"/>
      <c r="T219" s="40"/>
      <c r="U219" s="40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9">
        <v>6</v>
      </c>
    </row>
    <row r="220" spans="1:35" x14ac:dyDescent="0.25">
      <c r="A220" s="48">
        <v>77</v>
      </c>
      <c r="B220" s="176" t="s">
        <v>953</v>
      </c>
      <c r="C220" s="176" t="s">
        <v>943</v>
      </c>
      <c r="D220" s="150">
        <f t="shared" si="11"/>
        <v>300</v>
      </c>
      <c r="E220" s="48">
        <v>50</v>
      </c>
      <c r="F220" s="48"/>
      <c r="G220" s="35"/>
      <c r="H220" s="35"/>
      <c r="I220" s="35"/>
      <c r="J220" s="35"/>
      <c r="K220" s="35"/>
      <c r="L220" s="35"/>
      <c r="M220" s="48"/>
      <c r="N220" s="48"/>
      <c r="O220" s="48">
        <v>250</v>
      </c>
      <c r="P220" s="48"/>
      <c r="Q220" s="48"/>
      <c r="R220" s="40"/>
      <c r="S220" s="40"/>
      <c r="T220" s="40"/>
      <c r="U220" s="40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9"/>
    </row>
    <row r="221" spans="1:35" x14ac:dyDescent="0.25">
      <c r="A221" s="48">
        <v>78</v>
      </c>
      <c r="B221" s="166" t="s">
        <v>185</v>
      </c>
      <c r="C221" s="166" t="s">
        <v>184</v>
      </c>
      <c r="D221" s="150">
        <f t="shared" si="11"/>
        <v>55000</v>
      </c>
      <c r="E221" s="48"/>
      <c r="F221" s="48"/>
      <c r="G221" s="35"/>
      <c r="H221" s="35"/>
      <c r="I221" s="35"/>
      <c r="J221" s="35"/>
      <c r="K221" s="35"/>
      <c r="L221" s="35"/>
      <c r="M221" s="48"/>
      <c r="N221" s="48"/>
      <c r="O221" s="48"/>
      <c r="P221" s="48"/>
      <c r="Q221" s="48"/>
      <c r="R221" s="40"/>
      <c r="S221" s="40"/>
      <c r="T221" s="40"/>
      <c r="U221" s="40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>
        <v>4976</v>
      </c>
      <c r="AI221" s="49">
        <v>50024</v>
      </c>
    </row>
    <row r="222" spans="1:35" x14ac:dyDescent="0.25">
      <c r="A222" s="48">
        <v>79</v>
      </c>
      <c r="B222" s="176" t="s">
        <v>955</v>
      </c>
      <c r="C222" s="176" t="s">
        <v>954</v>
      </c>
      <c r="D222" s="150">
        <f t="shared" si="11"/>
        <v>290</v>
      </c>
      <c r="E222" s="48">
        <v>50</v>
      </c>
      <c r="F222" s="48"/>
      <c r="G222" s="35"/>
      <c r="H222" s="35"/>
      <c r="I222" s="35"/>
      <c r="J222" s="35"/>
      <c r="K222" s="35"/>
      <c r="L222" s="35"/>
      <c r="M222" s="48"/>
      <c r="N222" s="48"/>
      <c r="O222" s="48">
        <v>240</v>
      </c>
      <c r="P222" s="48"/>
      <c r="Q222" s="48"/>
      <c r="R222" s="40"/>
      <c r="S222" s="40"/>
      <c r="T222" s="40"/>
      <c r="U222" s="40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9"/>
    </row>
    <row r="223" spans="1:35" x14ac:dyDescent="0.25">
      <c r="A223" s="48">
        <v>80</v>
      </c>
      <c r="B223" s="176" t="s">
        <v>1198</v>
      </c>
      <c r="C223" s="176" t="s">
        <v>1197</v>
      </c>
      <c r="D223" s="150">
        <f t="shared" si="11"/>
        <v>1500</v>
      </c>
      <c r="E223" s="48"/>
      <c r="F223" s="48"/>
      <c r="G223" s="35"/>
      <c r="H223" s="35"/>
      <c r="I223" s="35"/>
      <c r="J223" s="35"/>
      <c r="K223" s="35"/>
      <c r="L223" s="35"/>
      <c r="M223" s="48"/>
      <c r="N223" s="48"/>
      <c r="O223" s="48"/>
      <c r="P223" s="48"/>
      <c r="Q223" s="48"/>
      <c r="R223" s="40"/>
      <c r="S223" s="40"/>
      <c r="T223" s="40"/>
      <c r="U223" s="40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>
        <v>1500</v>
      </c>
      <c r="AG223" s="48"/>
      <c r="AH223" s="48"/>
      <c r="AI223" s="49"/>
    </row>
    <row r="224" spans="1:35" x14ac:dyDescent="0.25">
      <c r="A224" s="48">
        <v>81</v>
      </c>
      <c r="B224" s="176" t="s">
        <v>1200</v>
      </c>
      <c r="C224" s="176" t="s">
        <v>1199</v>
      </c>
      <c r="D224" s="150">
        <f t="shared" si="11"/>
        <v>60</v>
      </c>
      <c r="E224" s="48"/>
      <c r="F224" s="48"/>
      <c r="G224" s="35"/>
      <c r="H224" s="35"/>
      <c r="I224" s="35"/>
      <c r="J224" s="35"/>
      <c r="K224" s="35"/>
      <c r="L224" s="35"/>
      <c r="M224" s="48"/>
      <c r="N224" s="48"/>
      <c r="O224" s="48"/>
      <c r="P224" s="48"/>
      <c r="Q224" s="48"/>
      <c r="R224" s="40"/>
      <c r="S224" s="40"/>
      <c r="T224" s="40"/>
      <c r="U224" s="40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>
        <v>60</v>
      </c>
      <c r="AH224" s="48"/>
      <c r="AI224" s="49"/>
    </row>
    <row r="225" spans="1:35" x14ac:dyDescent="0.25">
      <c r="A225" s="48">
        <v>82</v>
      </c>
      <c r="B225" s="176" t="s">
        <v>1204</v>
      </c>
      <c r="C225" s="176" t="s">
        <v>1201</v>
      </c>
      <c r="D225" s="150">
        <f t="shared" si="11"/>
        <v>240</v>
      </c>
      <c r="E225" s="48"/>
      <c r="F225" s="48"/>
      <c r="G225" s="35"/>
      <c r="H225" s="35"/>
      <c r="I225" s="35"/>
      <c r="J225" s="35"/>
      <c r="K225" s="35"/>
      <c r="L225" s="35"/>
      <c r="M225" s="48"/>
      <c r="N225" s="48"/>
      <c r="O225" s="48"/>
      <c r="P225" s="48"/>
      <c r="Q225" s="48"/>
      <c r="R225" s="40"/>
      <c r="S225" s="40"/>
      <c r="T225" s="40"/>
      <c r="U225" s="40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>
        <v>240</v>
      </c>
      <c r="AH225" s="48"/>
      <c r="AI225" s="49"/>
    </row>
    <row r="226" spans="1:35" x14ac:dyDescent="0.25">
      <c r="A226" s="48">
        <v>83</v>
      </c>
      <c r="B226" s="176" t="s">
        <v>1205</v>
      </c>
      <c r="C226" s="176" t="s">
        <v>1202</v>
      </c>
      <c r="D226" s="150">
        <f t="shared" si="11"/>
        <v>240</v>
      </c>
      <c r="E226" s="48"/>
      <c r="F226" s="48"/>
      <c r="G226" s="35"/>
      <c r="H226" s="35"/>
      <c r="I226" s="35"/>
      <c r="J226" s="35"/>
      <c r="K226" s="35"/>
      <c r="L226" s="35"/>
      <c r="M226" s="48"/>
      <c r="N226" s="48"/>
      <c r="O226" s="48"/>
      <c r="P226" s="48"/>
      <c r="Q226" s="48"/>
      <c r="R226" s="40"/>
      <c r="S226" s="40"/>
      <c r="T226" s="40"/>
      <c r="U226" s="40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>
        <v>240</v>
      </c>
      <c r="AH226" s="48"/>
      <c r="AI226" s="49"/>
    </row>
    <row r="227" spans="1:35" x14ac:dyDescent="0.25">
      <c r="A227" s="48">
        <v>84</v>
      </c>
      <c r="B227" s="176" t="s">
        <v>1206</v>
      </c>
      <c r="C227" s="176" t="s">
        <v>1203</v>
      </c>
      <c r="D227" s="150">
        <f t="shared" si="11"/>
        <v>240</v>
      </c>
      <c r="E227" s="48"/>
      <c r="F227" s="48"/>
      <c r="G227" s="35"/>
      <c r="H227" s="35"/>
      <c r="I227" s="35"/>
      <c r="J227" s="35"/>
      <c r="K227" s="35"/>
      <c r="L227" s="35"/>
      <c r="M227" s="48"/>
      <c r="N227" s="48"/>
      <c r="O227" s="48"/>
      <c r="P227" s="48"/>
      <c r="Q227" s="48"/>
      <c r="R227" s="40"/>
      <c r="S227" s="40"/>
      <c r="T227" s="40"/>
      <c r="U227" s="40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9">
        <v>240</v>
      </c>
    </row>
    <row r="228" spans="1:35" x14ac:dyDescent="0.25">
      <c r="A228" s="48">
        <v>85</v>
      </c>
      <c r="B228" s="166" t="s">
        <v>776</v>
      </c>
      <c r="C228" s="166" t="s">
        <v>775</v>
      </c>
      <c r="D228" s="150">
        <f t="shared" si="11"/>
        <v>11</v>
      </c>
      <c r="E228" s="48">
        <v>11</v>
      </c>
      <c r="F228" s="48"/>
      <c r="G228" s="35"/>
      <c r="H228" s="35"/>
      <c r="I228" s="35"/>
      <c r="J228" s="35"/>
      <c r="K228" s="35"/>
      <c r="L228" s="35"/>
      <c r="M228" s="48"/>
      <c r="N228" s="48"/>
      <c r="O228" s="48"/>
      <c r="P228" s="48"/>
      <c r="Q228" s="48"/>
      <c r="R228" s="40"/>
      <c r="S228" s="40"/>
      <c r="T228" s="40"/>
      <c r="U228" s="40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9"/>
    </row>
    <row r="229" spans="1:35" x14ac:dyDescent="0.25">
      <c r="A229" s="48">
        <v>86</v>
      </c>
      <c r="B229" s="176" t="s">
        <v>1211</v>
      </c>
      <c r="C229" s="176" t="s">
        <v>1207</v>
      </c>
      <c r="D229" s="150">
        <f t="shared" si="11"/>
        <v>60</v>
      </c>
      <c r="E229" s="48"/>
      <c r="F229" s="48"/>
      <c r="G229" s="35"/>
      <c r="H229" s="35"/>
      <c r="I229" s="35"/>
      <c r="J229" s="35"/>
      <c r="K229" s="35"/>
      <c r="L229" s="35"/>
      <c r="M229" s="48"/>
      <c r="N229" s="48"/>
      <c r="O229" s="48"/>
      <c r="P229" s="48"/>
      <c r="Q229" s="48"/>
      <c r="R229" s="40"/>
      <c r="S229" s="40"/>
      <c r="T229" s="40"/>
      <c r="U229" s="40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>
        <v>60</v>
      </c>
      <c r="AH229" s="48"/>
      <c r="AI229" s="49"/>
    </row>
    <row r="230" spans="1:35" x14ac:dyDescent="0.25">
      <c r="A230" s="48">
        <v>87</v>
      </c>
      <c r="B230" s="176" t="s">
        <v>1212</v>
      </c>
      <c r="C230" s="176" t="s">
        <v>1208</v>
      </c>
      <c r="D230" s="150">
        <f t="shared" si="11"/>
        <v>60</v>
      </c>
      <c r="E230" s="48"/>
      <c r="F230" s="48"/>
      <c r="G230" s="35"/>
      <c r="H230" s="35"/>
      <c r="I230" s="35"/>
      <c r="J230" s="35"/>
      <c r="K230" s="35"/>
      <c r="L230" s="35"/>
      <c r="M230" s="48"/>
      <c r="N230" s="48"/>
      <c r="O230" s="48"/>
      <c r="P230" s="48"/>
      <c r="Q230" s="48"/>
      <c r="R230" s="40"/>
      <c r="S230" s="40"/>
      <c r="T230" s="40"/>
      <c r="U230" s="40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>
        <v>60</v>
      </c>
      <c r="AI230" s="49"/>
    </row>
    <row r="231" spans="1:35" x14ac:dyDescent="0.25">
      <c r="A231" s="48">
        <v>88</v>
      </c>
      <c r="B231" s="176" t="s">
        <v>1213</v>
      </c>
      <c r="C231" s="176" t="s">
        <v>1209</v>
      </c>
      <c r="D231" s="150">
        <f t="shared" si="11"/>
        <v>60</v>
      </c>
      <c r="E231" s="48"/>
      <c r="F231" s="48"/>
      <c r="G231" s="35"/>
      <c r="H231" s="35"/>
      <c r="I231" s="35"/>
      <c r="J231" s="35"/>
      <c r="K231" s="35"/>
      <c r="L231" s="35"/>
      <c r="M231" s="48"/>
      <c r="N231" s="48"/>
      <c r="O231" s="48"/>
      <c r="P231" s="48"/>
      <c r="Q231" s="48"/>
      <c r="R231" s="40"/>
      <c r="S231" s="40"/>
      <c r="T231" s="40"/>
      <c r="U231" s="40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>
        <v>60</v>
      </c>
      <c r="AH231" s="48"/>
      <c r="AI231" s="49"/>
    </row>
    <row r="232" spans="1:35" x14ac:dyDescent="0.25">
      <c r="A232" s="48">
        <v>89</v>
      </c>
      <c r="B232" s="176" t="s">
        <v>1214</v>
      </c>
      <c r="C232" s="176" t="s">
        <v>1210</v>
      </c>
      <c r="D232" s="150">
        <f t="shared" si="11"/>
        <v>120</v>
      </c>
      <c r="E232" s="48"/>
      <c r="F232" s="48"/>
      <c r="G232" s="35"/>
      <c r="H232" s="35"/>
      <c r="I232" s="35"/>
      <c r="J232" s="35"/>
      <c r="K232" s="35"/>
      <c r="L232" s="35"/>
      <c r="M232" s="48"/>
      <c r="N232" s="48"/>
      <c r="O232" s="48"/>
      <c r="P232" s="48"/>
      <c r="Q232" s="48"/>
      <c r="R232" s="40"/>
      <c r="S232" s="40"/>
      <c r="T232" s="40"/>
      <c r="U232" s="40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>
        <v>120</v>
      </c>
      <c r="AI232" s="49"/>
    </row>
    <row r="233" spans="1:35" x14ac:dyDescent="0.25">
      <c r="A233" s="48">
        <v>90</v>
      </c>
      <c r="B233" s="166" t="s">
        <v>153</v>
      </c>
      <c r="C233" s="166" t="s">
        <v>104</v>
      </c>
      <c r="D233" s="150">
        <f t="shared" si="11"/>
        <v>17700</v>
      </c>
      <c r="E233" s="48"/>
      <c r="F233" s="48"/>
      <c r="G233" s="35"/>
      <c r="H233" s="35">
        <v>8000</v>
      </c>
      <c r="I233" s="35"/>
      <c r="J233" s="35"/>
      <c r="K233" s="35"/>
      <c r="L233" s="35"/>
      <c r="M233" s="48">
        <v>8280</v>
      </c>
      <c r="N233" s="48">
        <v>1420</v>
      </c>
      <c r="O233" s="48"/>
      <c r="P233" s="48"/>
      <c r="Q233" s="48"/>
      <c r="R233" s="40"/>
      <c r="S233" s="40"/>
      <c r="T233" s="40"/>
      <c r="U233" s="40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9"/>
    </row>
    <row r="234" spans="1:35" x14ac:dyDescent="0.25">
      <c r="A234" s="48">
        <v>91</v>
      </c>
      <c r="B234" s="166" t="s">
        <v>482</v>
      </c>
      <c r="C234" s="166" t="s">
        <v>483</v>
      </c>
      <c r="D234" s="150">
        <f t="shared" si="11"/>
        <v>7500</v>
      </c>
      <c r="E234" s="48"/>
      <c r="F234" s="48"/>
      <c r="G234" s="35">
        <v>2444</v>
      </c>
      <c r="H234" s="35">
        <v>56</v>
      </c>
      <c r="I234" s="35"/>
      <c r="J234" s="35"/>
      <c r="K234" s="35"/>
      <c r="L234" s="35"/>
      <c r="M234" s="48"/>
      <c r="N234" s="48"/>
      <c r="O234" s="48"/>
      <c r="P234" s="48"/>
      <c r="Q234" s="48"/>
      <c r="R234" s="40"/>
      <c r="S234" s="40"/>
      <c r="T234" s="40"/>
      <c r="U234" s="40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>
        <v>5000</v>
      </c>
      <c r="AH234" s="48"/>
      <c r="AI234" s="49"/>
    </row>
    <row r="235" spans="1:35" x14ac:dyDescent="0.25">
      <c r="A235" s="48">
        <v>92</v>
      </c>
      <c r="B235" s="166" t="s">
        <v>190</v>
      </c>
      <c r="C235" s="166" t="s">
        <v>188</v>
      </c>
      <c r="D235" s="150">
        <f t="shared" si="11"/>
        <v>0</v>
      </c>
      <c r="E235" s="48"/>
      <c r="F235" s="48"/>
      <c r="G235" s="35"/>
      <c r="H235" s="35"/>
      <c r="I235" s="35"/>
      <c r="J235" s="35"/>
      <c r="K235" s="35"/>
      <c r="L235" s="35"/>
      <c r="M235" s="48"/>
      <c r="N235" s="48"/>
      <c r="O235" s="48"/>
      <c r="P235" s="48"/>
      <c r="Q235" s="48"/>
      <c r="R235" s="40"/>
      <c r="S235" s="40"/>
      <c r="T235" s="40"/>
      <c r="U235" s="40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9"/>
    </row>
    <row r="236" spans="1:35" x14ac:dyDescent="0.25">
      <c r="A236" s="48">
        <v>93</v>
      </c>
      <c r="B236" s="166" t="s">
        <v>191</v>
      </c>
      <c r="C236" s="166" t="s">
        <v>189</v>
      </c>
      <c r="D236" s="150">
        <f t="shared" si="11"/>
        <v>200</v>
      </c>
      <c r="E236" s="48"/>
      <c r="F236" s="48"/>
      <c r="G236" s="35"/>
      <c r="H236" s="35"/>
      <c r="I236" s="35"/>
      <c r="J236" s="35"/>
      <c r="K236" s="35"/>
      <c r="L236" s="35"/>
      <c r="M236" s="48"/>
      <c r="N236" s="48">
        <v>200</v>
      </c>
      <c r="O236" s="48"/>
      <c r="P236" s="48"/>
      <c r="Q236" s="48"/>
      <c r="R236" s="40"/>
      <c r="S236" s="40"/>
      <c r="T236" s="40"/>
      <c r="U236" s="40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9"/>
    </row>
    <row r="237" spans="1:35" x14ac:dyDescent="0.25">
      <c r="A237" s="48">
        <v>94</v>
      </c>
      <c r="B237" s="166" t="s">
        <v>397</v>
      </c>
      <c r="C237" s="166" t="s">
        <v>400</v>
      </c>
      <c r="D237" s="150">
        <f t="shared" si="11"/>
        <v>0</v>
      </c>
      <c r="E237" s="48"/>
      <c r="F237" s="48"/>
      <c r="G237" s="35"/>
      <c r="H237" s="35"/>
      <c r="I237" s="35"/>
      <c r="J237" s="35"/>
      <c r="K237" s="35"/>
      <c r="L237" s="35"/>
      <c r="M237" s="48"/>
      <c r="N237" s="48"/>
      <c r="O237" s="48"/>
      <c r="P237" s="48"/>
      <c r="Q237" s="48"/>
      <c r="R237" s="40"/>
      <c r="S237" s="40"/>
      <c r="T237" s="40"/>
      <c r="U237" s="40"/>
      <c r="V237" s="48"/>
      <c r="W237" s="48"/>
      <c r="X237" s="48"/>
      <c r="Y237" s="48"/>
      <c r="Z237" s="48"/>
      <c r="AA237" s="156"/>
      <c r="AB237" s="48"/>
      <c r="AC237" s="48"/>
      <c r="AD237" s="48"/>
      <c r="AE237" s="48"/>
      <c r="AF237" s="48"/>
      <c r="AG237" s="48"/>
      <c r="AH237" s="48"/>
      <c r="AI237" s="49"/>
    </row>
    <row r="238" spans="1:35" x14ac:dyDescent="0.25">
      <c r="A238" s="48">
        <v>95</v>
      </c>
      <c r="B238" s="166" t="s">
        <v>398</v>
      </c>
      <c r="C238" s="166" t="s">
        <v>401</v>
      </c>
      <c r="D238" s="150">
        <f t="shared" si="11"/>
        <v>0</v>
      </c>
      <c r="E238" s="48"/>
      <c r="F238" s="48"/>
      <c r="G238" s="35"/>
      <c r="H238" s="35"/>
      <c r="I238" s="35"/>
      <c r="J238" s="35"/>
      <c r="K238" s="35"/>
      <c r="L238" s="35"/>
      <c r="M238" s="48"/>
      <c r="N238" s="48"/>
      <c r="O238" s="48"/>
      <c r="P238" s="48"/>
      <c r="Q238" s="48"/>
      <c r="R238" s="40"/>
      <c r="S238" s="40"/>
      <c r="T238" s="40"/>
      <c r="U238" s="40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9"/>
    </row>
    <row r="239" spans="1:35" x14ac:dyDescent="0.25">
      <c r="A239" s="48">
        <v>96</v>
      </c>
      <c r="B239" s="166" t="s">
        <v>399</v>
      </c>
      <c r="C239" s="166" t="s">
        <v>402</v>
      </c>
      <c r="D239" s="150">
        <f t="shared" si="11"/>
        <v>0</v>
      </c>
      <c r="E239" s="48"/>
      <c r="F239" s="48"/>
      <c r="G239" s="35"/>
      <c r="H239" s="35"/>
      <c r="I239" s="35"/>
      <c r="J239" s="35"/>
      <c r="K239" s="35"/>
      <c r="L239" s="35"/>
      <c r="M239" s="48"/>
      <c r="N239" s="48"/>
      <c r="O239" s="48"/>
      <c r="P239" s="48"/>
      <c r="Q239" s="48"/>
      <c r="R239" s="40"/>
      <c r="S239" s="40"/>
      <c r="T239" s="40"/>
      <c r="U239" s="40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9"/>
    </row>
    <row r="240" spans="1:35" x14ac:dyDescent="0.25">
      <c r="A240" s="48">
        <v>97</v>
      </c>
      <c r="B240" s="166" t="s">
        <v>193</v>
      </c>
      <c r="C240" s="166" t="s">
        <v>192</v>
      </c>
      <c r="D240" s="150">
        <f t="shared" si="11"/>
        <v>360</v>
      </c>
      <c r="E240" s="48"/>
      <c r="F240" s="48"/>
      <c r="G240" s="35"/>
      <c r="H240" s="35"/>
      <c r="I240" s="35"/>
      <c r="J240" s="35"/>
      <c r="K240" s="35"/>
      <c r="L240" s="35"/>
      <c r="M240" s="48"/>
      <c r="N240" s="48"/>
      <c r="O240" s="48"/>
      <c r="P240" s="48"/>
      <c r="Q240" s="48"/>
      <c r="R240" s="40"/>
      <c r="S240" s="40"/>
      <c r="T240" s="40"/>
      <c r="U240" s="40"/>
      <c r="V240" s="48"/>
      <c r="W240" s="48"/>
      <c r="X240" s="48"/>
      <c r="Y240" s="48"/>
      <c r="Z240" s="48"/>
      <c r="AA240" s="48"/>
      <c r="AB240" s="48"/>
      <c r="AC240" s="48">
        <v>360</v>
      </c>
      <c r="AD240" s="48"/>
      <c r="AE240" s="48"/>
      <c r="AF240" s="48"/>
      <c r="AG240" s="48"/>
      <c r="AH240" s="48"/>
      <c r="AI240" s="49"/>
    </row>
    <row r="241" spans="1:35" x14ac:dyDescent="0.25">
      <c r="A241" s="48">
        <v>98</v>
      </c>
      <c r="B241" s="166" t="s">
        <v>230</v>
      </c>
      <c r="C241" s="166" t="s">
        <v>229</v>
      </c>
      <c r="D241" s="150">
        <f t="shared" ref="D241:D272" si="12">SUM(E241:AI241)</f>
        <v>0</v>
      </c>
      <c r="E241" s="48"/>
      <c r="F241" s="48"/>
      <c r="G241" s="35"/>
      <c r="H241" s="35"/>
      <c r="I241" s="35"/>
      <c r="J241" s="35"/>
      <c r="K241" s="35"/>
      <c r="L241" s="35"/>
      <c r="M241" s="48"/>
      <c r="N241" s="48"/>
      <c r="O241" s="48"/>
      <c r="P241" s="48"/>
      <c r="Q241" s="48"/>
      <c r="R241" s="40"/>
      <c r="S241" s="40"/>
      <c r="T241" s="40"/>
      <c r="U241" s="40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9"/>
    </row>
    <row r="242" spans="1:35" x14ac:dyDescent="0.25">
      <c r="A242" s="48">
        <v>99</v>
      </c>
      <c r="B242" s="166" t="s">
        <v>154</v>
      </c>
      <c r="C242" s="166" t="s">
        <v>105</v>
      </c>
      <c r="D242" s="150">
        <f t="shared" si="12"/>
        <v>0</v>
      </c>
      <c r="E242" s="48"/>
      <c r="F242" s="48"/>
      <c r="G242" s="35"/>
      <c r="H242" s="35"/>
      <c r="I242" s="35"/>
      <c r="J242" s="35"/>
      <c r="K242" s="35"/>
      <c r="L242" s="35"/>
      <c r="M242" s="48"/>
      <c r="N242" s="48"/>
      <c r="O242" s="48"/>
      <c r="P242" s="48"/>
      <c r="Q242" s="48"/>
      <c r="R242" s="40"/>
      <c r="S242" s="40"/>
      <c r="T242" s="40"/>
      <c r="U242" s="40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9"/>
    </row>
    <row r="243" spans="1:35" x14ac:dyDescent="0.25">
      <c r="A243" s="48">
        <v>100</v>
      </c>
      <c r="B243" s="166" t="s">
        <v>155</v>
      </c>
      <c r="C243" s="166" t="s">
        <v>106</v>
      </c>
      <c r="D243" s="150">
        <f t="shared" si="12"/>
        <v>0</v>
      </c>
      <c r="E243" s="48"/>
      <c r="F243" s="48"/>
      <c r="G243" s="35"/>
      <c r="H243" s="35"/>
      <c r="I243" s="35"/>
      <c r="J243" s="35"/>
      <c r="K243" s="35"/>
      <c r="L243" s="35"/>
      <c r="M243" s="48"/>
      <c r="N243" s="48"/>
      <c r="O243" s="48"/>
      <c r="P243" s="48"/>
      <c r="Q243" s="48"/>
      <c r="R243" s="40"/>
      <c r="S243" s="40"/>
      <c r="T243" s="40"/>
      <c r="U243" s="40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9"/>
    </row>
    <row r="244" spans="1:35" x14ac:dyDescent="0.25">
      <c r="A244" s="48">
        <v>101</v>
      </c>
      <c r="B244" s="166" t="s">
        <v>156</v>
      </c>
      <c r="C244" s="166" t="s">
        <v>107</v>
      </c>
      <c r="D244" s="150">
        <f t="shared" si="12"/>
        <v>0</v>
      </c>
      <c r="E244" s="48"/>
      <c r="F244" s="48"/>
      <c r="G244" s="35"/>
      <c r="H244" s="35"/>
      <c r="I244" s="35"/>
      <c r="J244" s="35"/>
      <c r="K244" s="35"/>
      <c r="L244" s="35"/>
      <c r="M244" s="48"/>
      <c r="N244" s="48"/>
      <c r="O244" s="48"/>
      <c r="P244" s="48"/>
      <c r="Q244" s="48"/>
      <c r="R244" s="40"/>
      <c r="S244" s="40"/>
      <c r="T244" s="40"/>
      <c r="U244" s="40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9"/>
    </row>
    <row r="245" spans="1:35" x14ac:dyDescent="0.25">
      <c r="A245" s="48">
        <v>102</v>
      </c>
      <c r="B245" s="166" t="s">
        <v>234</v>
      </c>
      <c r="C245" s="166" t="s">
        <v>233</v>
      </c>
      <c r="D245" s="150">
        <f t="shared" si="12"/>
        <v>180</v>
      </c>
      <c r="E245" s="48"/>
      <c r="F245" s="48"/>
      <c r="G245" s="35"/>
      <c r="H245" s="35"/>
      <c r="I245" s="35"/>
      <c r="J245" s="35"/>
      <c r="K245" s="35"/>
      <c r="L245" s="35"/>
      <c r="M245" s="48"/>
      <c r="N245" s="48"/>
      <c r="O245" s="48"/>
      <c r="P245" s="48"/>
      <c r="Q245" s="48"/>
      <c r="R245" s="40"/>
      <c r="S245" s="40"/>
      <c r="T245" s="40"/>
      <c r="U245" s="40"/>
      <c r="V245" s="48"/>
      <c r="W245" s="48"/>
      <c r="X245" s="48"/>
      <c r="Y245" s="48">
        <v>180</v>
      </c>
      <c r="Z245" s="48"/>
      <c r="AA245" s="48"/>
      <c r="AB245" s="48"/>
      <c r="AC245" s="48"/>
      <c r="AD245" s="48"/>
      <c r="AE245" s="48"/>
      <c r="AF245" s="48"/>
      <c r="AG245" s="48"/>
      <c r="AH245" s="48"/>
      <c r="AI245" s="49"/>
    </row>
    <row r="246" spans="1:35" x14ac:dyDescent="0.25">
      <c r="A246" s="48">
        <v>103</v>
      </c>
      <c r="B246" s="166" t="s">
        <v>195</v>
      </c>
      <c r="C246" s="166" t="s">
        <v>194</v>
      </c>
      <c r="D246" s="150">
        <f t="shared" si="12"/>
        <v>5000</v>
      </c>
      <c r="E246" s="48"/>
      <c r="F246" s="48"/>
      <c r="G246" s="35"/>
      <c r="H246" s="35"/>
      <c r="I246" s="35"/>
      <c r="J246" s="35"/>
      <c r="K246" s="35"/>
      <c r="L246" s="35"/>
      <c r="M246" s="48"/>
      <c r="N246" s="48"/>
      <c r="O246" s="48"/>
      <c r="P246" s="48"/>
      <c r="Q246" s="48"/>
      <c r="R246" s="40"/>
      <c r="S246" s="40"/>
      <c r="T246" s="40"/>
      <c r="U246" s="40"/>
      <c r="V246" s="48">
        <v>5000</v>
      </c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9"/>
    </row>
    <row r="247" spans="1:35" x14ac:dyDescent="0.25">
      <c r="A247" s="48">
        <v>104</v>
      </c>
      <c r="B247" s="176" t="s">
        <v>1111</v>
      </c>
      <c r="C247" s="176" t="s">
        <v>1139</v>
      </c>
      <c r="D247" s="150">
        <f t="shared" si="12"/>
        <v>1900</v>
      </c>
      <c r="E247" s="48"/>
      <c r="F247" s="48"/>
      <c r="G247" s="35"/>
      <c r="H247" s="35"/>
      <c r="I247" s="35"/>
      <c r="J247" s="35"/>
      <c r="K247" s="35"/>
      <c r="L247" s="35"/>
      <c r="M247" s="48"/>
      <c r="N247" s="48"/>
      <c r="O247" s="48"/>
      <c r="P247" s="48"/>
      <c r="Q247" s="48"/>
      <c r="R247" s="40"/>
      <c r="S247" s="40"/>
      <c r="T247" s="40"/>
      <c r="U247" s="40"/>
      <c r="V247" s="48"/>
      <c r="W247" s="48"/>
      <c r="X247" s="48"/>
      <c r="Y247" s="48"/>
      <c r="Z247" s="48"/>
      <c r="AA247" s="48"/>
      <c r="AB247" s="48">
        <v>1900</v>
      </c>
      <c r="AC247" s="48"/>
      <c r="AD247" s="48"/>
      <c r="AE247" s="48"/>
      <c r="AF247" s="48"/>
      <c r="AG247" s="48"/>
      <c r="AH247" s="48"/>
      <c r="AI247" s="49"/>
    </row>
    <row r="248" spans="1:35" x14ac:dyDescent="0.25">
      <c r="A248" s="48">
        <v>105</v>
      </c>
      <c r="B248" s="176" t="s">
        <v>1143</v>
      </c>
      <c r="C248" s="176" t="s">
        <v>1140</v>
      </c>
      <c r="D248" s="150">
        <f t="shared" si="12"/>
        <v>500</v>
      </c>
      <c r="E248" s="48"/>
      <c r="F248" s="48"/>
      <c r="G248" s="35"/>
      <c r="H248" s="35"/>
      <c r="I248" s="35"/>
      <c r="J248" s="35"/>
      <c r="K248" s="35"/>
      <c r="L248" s="35"/>
      <c r="M248" s="48"/>
      <c r="N248" s="48"/>
      <c r="O248" s="48"/>
      <c r="P248" s="48"/>
      <c r="Q248" s="48"/>
      <c r="R248" s="40"/>
      <c r="S248" s="40"/>
      <c r="T248" s="40"/>
      <c r="U248" s="40"/>
      <c r="V248" s="48"/>
      <c r="W248" s="48"/>
      <c r="X248" s="48"/>
      <c r="Y248" s="48"/>
      <c r="Z248" s="48"/>
      <c r="AA248" s="48"/>
      <c r="AB248" s="48">
        <v>500</v>
      </c>
      <c r="AC248" s="48"/>
      <c r="AD248" s="48"/>
      <c r="AE248" s="48"/>
      <c r="AF248" s="48"/>
      <c r="AG248" s="48"/>
      <c r="AH248" s="48"/>
      <c r="AI248" s="49"/>
    </row>
    <row r="249" spans="1:35" x14ac:dyDescent="0.25">
      <c r="A249" s="48">
        <v>106</v>
      </c>
      <c r="B249" s="176" t="s">
        <v>1137</v>
      </c>
      <c r="C249" s="176" t="s">
        <v>1141</v>
      </c>
      <c r="D249" s="150">
        <f t="shared" si="12"/>
        <v>1300</v>
      </c>
      <c r="E249" s="48"/>
      <c r="F249" s="48"/>
      <c r="G249" s="35"/>
      <c r="H249" s="35"/>
      <c r="I249" s="35"/>
      <c r="J249" s="35"/>
      <c r="K249" s="35"/>
      <c r="L249" s="35"/>
      <c r="M249" s="48"/>
      <c r="N249" s="48"/>
      <c r="O249" s="48"/>
      <c r="P249" s="48"/>
      <c r="Q249" s="48"/>
      <c r="R249" s="40"/>
      <c r="S249" s="40"/>
      <c r="T249" s="40"/>
      <c r="U249" s="40"/>
      <c r="V249" s="48"/>
      <c r="W249" s="48"/>
      <c r="X249" s="48"/>
      <c r="Y249" s="48"/>
      <c r="Z249" s="48"/>
      <c r="AA249" s="48"/>
      <c r="AB249" s="48">
        <v>1300</v>
      </c>
      <c r="AC249" s="48"/>
      <c r="AD249" s="48"/>
      <c r="AE249" s="48"/>
      <c r="AF249" s="48"/>
      <c r="AG249" s="48"/>
      <c r="AH249" s="48"/>
      <c r="AI249" s="49"/>
    </row>
    <row r="250" spans="1:35" x14ac:dyDescent="0.25">
      <c r="A250" s="48">
        <v>107</v>
      </c>
      <c r="B250" s="176" t="s">
        <v>1144</v>
      </c>
      <c r="C250" s="176" t="s">
        <v>1142</v>
      </c>
      <c r="D250" s="150">
        <f t="shared" si="12"/>
        <v>200</v>
      </c>
      <c r="E250" s="48"/>
      <c r="F250" s="48"/>
      <c r="G250" s="35"/>
      <c r="H250" s="35"/>
      <c r="I250" s="35"/>
      <c r="J250" s="35"/>
      <c r="K250" s="35"/>
      <c r="L250" s="35"/>
      <c r="M250" s="48"/>
      <c r="N250" s="48"/>
      <c r="O250" s="48"/>
      <c r="P250" s="48"/>
      <c r="Q250" s="48"/>
      <c r="R250" s="40"/>
      <c r="S250" s="40"/>
      <c r="T250" s="40"/>
      <c r="U250" s="40"/>
      <c r="V250" s="48"/>
      <c r="W250" s="48"/>
      <c r="X250" s="48"/>
      <c r="Y250" s="48"/>
      <c r="Z250" s="48"/>
      <c r="AA250" s="48"/>
      <c r="AB250" s="48">
        <v>200</v>
      </c>
      <c r="AC250" s="48"/>
      <c r="AD250" s="48"/>
      <c r="AE250" s="48"/>
      <c r="AF250" s="48"/>
      <c r="AG250" s="48"/>
      <c r="AH250" s="48"/>
      <c r="AI250" s="49"/>
    </row>
    <row r="251" spans="1:35" x14ac:dyDescent="0.25">
      <c r="A251" s="48">
        <v>108</v>
      </c>
      <c r="B251" s="176" t="s">
        <v>1148</v>
      </c>
      <c r="C251" s="176" t="s">
        <v>1145</v>
      </c>
      <c r="D251" s="150">
        <f t="shared" si="12"/>
        <v>9950</v>
      </c>
      <c r="E251" s="48"/>
      <c r="F251" s="48"/>
      <c r="G251" s="35"/>
      <c r="H251" s="35"/>
      <c r="I251" s="35"/>
      <c r="J251" s="35"/>
      <c r="K251" s="35"/>
      <c r="L251" s="35"/>
      <c r="M251" s="48"/>
      <c r="N251" s="48"/>
      <c r="O251" s="48"/>
      <c r="P251" s="48"/>
      <c r="Q251" s="48"/>
      <c r="R251" s="40"/>
      <c r="S251" s="40"/>
      <c r="T251" s="40"/>
      <c r="U251" s="40"/>
      <c r="V251" s="48"/>
      <c r="W251" s="48"/>
      <c r="X251" s="48"/>
      <c r="Y251" s="48"/>
      <c r="Z251" s="48"/>
      <c r="AA251" s="48"/>
      <c r="AB251" s="48">
        <v>9950</v>
      </c>
      <c r="AC251" s="48"/>
      <c r="AD251" s="48"/>
      <c r="AE251" s="48"/>
      <c r="AF251" s="48"/>
      <c r="AG251" s="48"/>
      <c r="AH251" s="48"/>
      <c r="AI251" s="49"/>
    </row>
    <row r="252" spans="1:35" x14ac:dyDescent="0.25">
      <c r="A252" s="48">
        <v>109</v>
      </c>
      <c r="B252" s="176" t="s">
        <v>1149</v>
      </c>
      <c r="C252" s="176" t="s">
        <v>1146</v>
      </c>
      <c r="D252" s="150">
        <f t="shared" si="12"/>
        <v>5000</v>
      </c>
      <c r="E252" s="48"/>
      <c r="F252" s="48"/>
      <c r="G252" s="35"/>
      <c r="H252" s="35"/>
      <c r="I252" s="35"/>
      <c r="J252" s="35"/>
      <c r="K252" s="35"/>
      <c r="L252" s="35"/>
      <c r="M252" s="48"/>
      <c r="N252" s="48"/>
      <c r="O252" s="48"/>
      <c r="P252" s="48"/>
      <c r="Q252" s="48"/>
      <c r="R252" s="40"/>
      <c r="S252" s="40"/>
      <c r="T252" s="40"/>
      <c r="U252" s="40"/>
      <c r="V252" s="48"/>
      <c r="W252" s="48"/>
      <c r="X252" s="48"/>
      <c r="Y252" s="48"/>
      <c r="Z252" s="48"/>
      <c r="AA252" s="48"/>
      <c r="AB252" s="48">
        <v>5000</v>
      </c>
      <c r="AC252" s="48"/>
      <c r="AD252" s="48"/>
      <c r="AE252" s="48"/>
      <c r="AF252" s="48"/>
      <c r="AG252" s="48"/>
      <c r="AH252" s="48"/>
      <c r="AI252" s="49"/>
    </row>
    <row r="253" spans="1:35" x14ac:dyDescent="0.25">
      <c r="A253" s="48">
        <v>110</v>
      </c>
      <c r="B253" s="176" t="s">
        <v>1150</v>
      </c>
      <c r="C253" s="176" t="s">
        <v>1147</v>
      </c>
      <c r="D253" s="150">
        <f t="shared" si="12"/>
        <v>4550</v>
      </c>
      <c r="E253" s="48"/>
      <c r="F253" s="48"/>
      <c r="G253" s="35"/>
      <c r="H253" s="35"/>
      <c r="I253" s="35"/>
      <c r="J253" s="35"/>
      <c r="K253" s="35"/>
      <c r="L253" s="35"/>
      <c r="M253" s="48"/>
      <c r="N253" s="48"/>
      <c r="O253" s="48"/>
      <c r="P253" s="48"/>
      <c r="Q253" s="48"/>
      <c r="R253" s="40"/>
      <c r="S253" s="40"/>
      <c r="T253" s="40"/>
      <c r="U253" s="40"/>
      <c r="V253" s="48"/>
      <c r="W253" s="48"/>
      <c r="X253" s="48"/>
      <c r="Y253" s="48"/>
      <c r="Z253" s="48"/>
      <c r="AA253" s="48"/>
      <c r="AB253" s="48">
        <v>4550</v>
      </c>
      <c r="AC253" s="48"/>
      <c r="AD253" s="48"/>
      <c r="AE253" s="48"/>
      <c r="AF253" s="48"/>
      <c r="AG253" s="48"/>
      <c r="AH253" s="48"/>
      <c r="AI253" s="49"/>
    </row>
    <row r="254" spans="1:35" x14ac:dyDescent="0.25">
      <c r="A254" s="48">
        <v>111</v>
      </c>
      <c r="B254" s="166" t="s">
        <v>741</v>
      </c>
      <c r="C254" s="166" t="s">
        <v>739</v>
      </c>
      <c r="D254" s="150">
        <f t="shared" si="12"/>
        <v>0</v>
      </c>
      <c r="E254" s="48"/>
      <c r="F254" s="48"/>
      <c r="G254" s="35"/>
      <c r="H254" s="35"/>
      <c r="I254" s="35"/>
      <c r="J254" s="35"/>
      <c r="K254" s="35"/>
      <c r="L254" s="35"/>
      <c r="M254" s="48"/>
      <c r="N254" s="48"/>
      <c r="O254" s="48"/>
      <c r="P254" s="48"/>
      <c r="Q254" s="48"/>
      <c r="R254" s="40"/>
      <c r="S254" s="40"/>
      <c r="T254" s="40"/>
      <c r="U254" s="40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9"/>
    </row>
    <row r="255" spans="1:35" x14ac:dyDescent="0.25">
      <c r="A255" s="48">
        <v>112</v>
      </c>
      <c r="B255" s="166" t="s">
        <v>742</v>
      </c>
      <c r="C255" s="166" t="s">
        <v>740</v>
      </c>
      <c r="D255" s="150">
        <f t="shared" si="12"/>
        <v>0</v>
      </c>
      <c r="E255" s="48"/>
      <c r="F255" s="48"/>
      <c r="G255" s="35"/>
      <c r="H255" s="35"/>
      <c r="I255" s="35"/>
      <c r="J255" s="35"/>
      <c r="K255" s="35"/>
      <c r="L255" s="35"/>
      <c r="M255" s="48"/>
      <c r="N255" s="48"/>
      <c r="O255" s="48"/>
      <c r="P255" s="48"/>
      <c r="Q255" s="48"/>
      <c r="R255" s="40"/>
      <c r="S255" s="40"/>
      <c r="T255" s="40"/>
      <c r="U255" s="40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9"/>
    </row>
    <row r="256" spans="1:35" x14ac:dyDescent="0.25">
      <c r="A256" s="48">
        <v>113</v>
      </c>
      <c r="B256" s="166" t="s">
        <v>745</v>
      </c>
      <c r="C256" s="166" t="s">
        <v>743</v>
      </c>
      <c r="D256" s="150">
        <f t="shared" si="12"/>
        <v>0</v>
      </c>
      <c r="E256" s="48"/>
      <c r="F256" s="48"/>
      <c r="G256" s="35"/>
      <c r="H256" s="35"/>
      <c r="I256" s="35"/>
      <c r="J256" s="35"/>
      <c r="K256" s="35"/>
      <c r="L256" s="35"/>
      <c r="M256" s="48"/>
      <c r="N256" s="48"/>
      <c r="O256" s="48"/>
      <c r="P256" s="48"/>
      <c r="Q256" s="48"/>
      <c r="R256" s="40"/>
      <c r="S256" s="40"/>
      <c r="T256" s="40"/>
      <c r="U256" s="40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9"/>
    </row>
    <row r="257" spans="1:35" x14ac:dyDescent="0.25">
      <c r="A257" s="48">
        <v>114</v>
      </c>
      <c r="B257" s="166" t="s">
        <v>746</v>
      </c>
      <c r="C257" s="166" t="s">
        <v>744</v>
      </c>
      <c r="D257" s="150">
        <f t="shared" si="12"/>
        <v>0</v>
      </c>
      <c r="E257" s="48"/>
      <c r="F257" s="48"/>
      <c r="G257" s="35"/>
      <c r="H257" s="35"/>
      <c r="I257" s="35"/>
      <c r="J257" s="35"/>
      <c r="K257" s="35"/>
      <c r="L257" s="35"/>
      <c r="M257" s="48"/>
      <c r="N257" s="48"/>
      <c r="O257" s="48"/>
      <c r="P257" s="48"/>
      <c r="Q257" s="48"/>
      <c r="R257" s="40"/>
      <c r="S257" s="40"/>
      <c r="T257" s="40"/>
      <c r="U257" s="40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9"/>
    </row>
    <row r="258" spans="1:35" x14ac:dyDescent="0.25">
      <c r="A258" s="48">
        <v>115</v>
      </c>
      <c r="B258" s="166" t="s">
        <v>468</v>
      </c>
      <c r="C258" s="166" t="s">
        <v>469</v>
      </c>
      <c r="D258" s="150">
        <f t="shared" si="12"/>
        <v>0</v>
      </c>
      <c r="E258" s="48"/>
      <c r="F258" s="48"/>
      <c r="G258" s="35"/>
      <c r="H258" s="35"/>
      <c r="I258" s="35"/>
      <c r="J258" s="35"/>
      <c r="K258" s="35"/>
      <c r="L258" s="35"/>
      <c r="M258" s="48"/>
      <c r="N258" s="48"/>
      <c r="O258" s="48"/>
      <c r="P258" s="48"/>
      <c r="Q258" s="48"/>
      <c r="R258" s="40"/>
      <c r="S258" s="40"/>
      <c r="T258" s="40"/>
      <c r="U258" s="40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9"/>
    </row>
    <row r="259" spans="1:35" x14ac:dyDescent="0.25">
      <c r="A259" s="48">
        <v>116</v>
      </c>
      <c r="B259" s="166" t="s">
        <v>474</v>
      </c>
      <c r="C259" s="166" t="s">
        <v>475</v>
      </c>
      <c r="D259" s="150">
        <f t="shared" si="12"/>
        <v>0</v>
      </c>
      <c r="E259" s="48"/>
      <c r="F259" s="48"/>
      <c r="G259" s="35"/>
      <c r="H259" s="35"/>
      <c r="I259" s="35"/>
      <c r="J259" s="35"/>
      <c r="K259" s="35"/>
      <c r="L259" s="35"/>
      <c r="M259" s="48"/>
      <c r="N259" s="48"/>
      <c r="O259" s="48"/>
      <c r="P259" s="48"/>
      <c r="Q259" s="48"/>
      <c r="R259" s="40"/>
      <c r="S259" s="40"/>
      <c r="T259" s="40"/>
      <c r="U259" s="40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9"/>
    </row>
    <row r="260" spans="1:35" x14ac:dyDescent="0.25">
      <c r="A260" s="48">
        <v>117</v>
      </c>
      <c r="B260" s="166" t="s">
        <v>222</v>
      </c>
      <c r="C260" s="166" t="s">
        <v>221</v>
      </c>
      <c r="D260" s="150">
        <f t="shared" si="12"/>
        <v>0</v>
      </c>
      <c r="E260" s="48"/>
      <c r="F260" s="48"/>
      <c r="G260" s="35"/>
      <c r="H260" s="35"/>
      <c r="I260" s="35"/>
      <c r="J260" s="35"/>
      <c r="K260" s="35"/>
      <c r="L260" s="35"/>
      <c r="M260" s="48"/>
      <c r="N260" s="48"/>
      <c r="O260" s="48"/>
      <c r="P260" s="48"/>
      <c r="Q260" s="48"/>
      <c r="R260" s="40"/>
      <c r="S260" s="40"/>
      <c r="T260" s="40"/>
      <c r="U260" s="40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9"/>
    </row>
    <row r="261" spans="1:35" x14ac:dyDescent="0.25">
      <c r="A261" s="48">
        <v>118</v>
      </c>
      <c r="B261" s="176" t="s">
        <v>963</v>
      </c>
      <c r="C261" s="176" t="s">
        <v>960</v>
      </c>
      <c r="D261" s="150">
        <f t="shared" si="12"/>
        <v>2500</v>
      </c>
      <c r="E261" s="48"/>
      <c r="F261" s="48"/>
      <c r="G261" s="35"/>
      <c r="H261" s="35"/>
      <c r="I261" s="35"/>
      <c r="J261" s="35"/>
      <c r="K261" s="35"/>
      <c r="L261" s="35"/>
      <c r="M261" s="48">
        <v>2500</v>
      </c>
      <c r="N261" s="48"/>
      <c r="O261" s="48"/>
      <c r="P261" s="48"/>
      <c r="Q261" s="48"/>
      <c r="R261" s="40"/>
      <c r="S261" s="40"/>
      <c r="T261" s="40"/>
      <c r="U261" s="40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9"/>
    </row>
    <row r="262" spans="1:35" x14ac:dyDescent="0.25">
      <c r="A262" s="48">
        <v>119</v>
      </c>
      <c r="B262" s="176" t="s">
        <v>964</v>
      </c>
      <c r="C262" s="176" t="s">
        <v>961</v>
      </c>
      <c r="D262" s="150">
        <f t="shared" si="12"/>
        <v>4500</v>
      </c>
      <c r="E262" s="48"/>
      <c r="F262" s="48"/>
      <c r="G262" s="35"/>
      <c r="H262" s="35"/>
      <c r="I262" s="35"/>
      <c r="J262" s="35"/>
      <c r="K262" s="35"/>
      <c r="L262" s="35"/>
      <c r="M262" s="48"/>
      <c r="N262" s="48"/>
      <c r="O262" s="48"/>
      <c r="P262" s="48"/>
      <c r="Q262" s="48"/>
      <c r="R262" s="40"/>
      <c r="S262" s="40"/>
      <c r="T262" s="40"/>
      <c r="U262" s="40"/>
      <c r="V262" s="48"/>
      <c r="W262" s="48">
        <v>4500</v>
      </c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9"/>
    </row>
    <row r="263" spans="1:35" x14ac:dyDescent="0.25">
      <c r="A263" s="48">
        <v>120</v>
      </c>
      <c r="B263" s="176" t="s">
        <v>965</v>
      </c>
      <c r="C263" s="176" t="s">
        <v>962</v>
      </c>
      <c r="D263" s="150">
        <f t="shared" si="12"/>
        <v>5000</v>
      </c>
      <c r="E263" s="48"/>
      <c r="F263" s="48"/>
      <c r="G263" s="35"/>
      <c r="H263" s="35"/>
      <c r="I263" s="35"/>
      <c r="J263" s="35"/>
      <c r="K263" s="35"/>
      <c r="L263" s="35"/>
      <c r="M263" s="48"/>
      <c r="N263" s="48"/>
      <c r="O263" s="48"/>
      <c r="P263" s="48"/>
      <c r="Q263" s="48"/>
      <c r="R263" s="40"/>
      <c r="S263" s="40"/>
      <c r="T263" s="40"/>
      <c r="U263" s="40"/>
      <c r="V263" s="48"/>
      <c r="W263" s="48">
        <v>5000</v>
      </c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9"/>
    </row>
    <row r="264" spans="1:35" x14ac:dyDescent="0.25">
      <c r="A264" s="48">
        <v>121</v>
      </c>
      <c r="B264" s="166" t="s">
        <v>278</v>
      </c>
      <c r="C264" s="166" t="s">
        <v>277</v>
      </c>
      <c r="D264" s="150">
        <f t="shared" si="12"/>
        <v>0</v>
      </c>
      <c r="E264" s="48"/>
      <c r="F264" s="48"/>
      <c r="G264" s="35"/>
      <c r="H264" s="35"/>
      <c r="I264" s="35"/>
      <c r="J264" s="35"/>
      <c r="K264" s="35"/>
      <c r="L264" s="35"/>
      <c r="M264" s="48"/>
      <c r="N264" s="48"/>
      <c r="O264" s="48"/>
      <c r="P264" s="48"/>
      <c r="Q264" s="48"/>
      <c r="R264" s="40"/>
      <c r="S264" s="40"/>
      <c r="T264" s="40"/>
      <c r="U264" s="40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9"/>
    </row>
    <row r="265" spans="1:35" x14ac:dyDescent="0.25">
      <c r="A265" s="48">
        <v>122</v>
      </c>
      <c r="B265" s="166" t="s">
        <v>919</v>
      </c>
      <c r="C265" s="166" t="s">
        <v>914</v>
      </c>
      <c r="D265" s="150">
        <f t="shared" si="12"/>
        <v>100</v>
      </c>
      <c r="E265" s="48"/>
      <c r="F265" s="48"/>
      <c r="G265" s="35"/>
      <c r="H265" s="35"/>
      <c r="I265" s="35">
        <v>100</v>
      </c>
      <c r="J265" s="35"/>
      <c r="K265" s="35"/>
      <c r="L265" s="35"/>
      <c r="M265" s="48"/>
      <c r="N265" s="48"/>
      <c r="O265" s="48"/>
      <c r="P265" s="48"/>
      <c r="Q265" s="48"/>
      <c r="R265" s="40"/>
      <c r="S265" s="40"/>
      <c r="T265" s="40"/>
      <c r="U265" s="40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9"/>
    </row>
    <row r="266" spans="1:35" x14ac:dyDescent="0.25">
      <c r="A266" s="48">
        <v>123</v>
      </c>
      <c r="B266" s="166" t="s">
        <v>920</v>
      </c>
      <c r="C266" s="166" t="s">
        <v>915</v>
      </c>
      <c r="D266" s="150">
        <f t="shared" si="12"/>
        <v>100</v>
      </c>
      <c r="E266" s="48"/>
      <c r="F266" s="48"/>
      <c r="G266" s="35"/>
      <c r="H266" s="35"/>
      <c r="I266" s="35">
        <v>100</v>
      </c>
      <c r="J266" s="35"/>
      <c r="K266" s="35"/>
      <c r="L266" s="35"/>
      <c r="M266" s="48"/>
      <c r="N266" s="48"/>
      <c r="O266" s="48"/>
      <c r="P266" s="48"/>
      <c r="Q266" s="48"/>
      <c r="R266" s="40"/>
      <c r="S266" s="40"/>
      <c r="T266" s="40"/>
      <c r="U266" s="40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9"/>
    </row>
    <row r="267" spans="1:35" x14ac:dyDescent="0.25">
      <c r="A267" s="48">
        <v>124</v>
      </c>
      <c r="B267" s="166" t="s">
        <v>921</v>
      </c>
      <c r="C267" s="166" t="s">
        <v>916</v>
      </c>
      <c r="D267" s="150">
        <f t="shared" si="12"/>
        <v>100</v>
      </c>
      <c r="E267" s="48"/>
      <c r="F267" s="48"/>
      <c r="G267" s="35"/>
      <c r="H267" s="35"/>
      <c r="I267" s="35">
        <v>100</v>
      </c>
      <c r="J267" s="35"/>
      <c r="K267" s="35"/>
      <c r="L267" s="35"/>
      <c r="M267" s="48"/>
      <c r="N267" s="48"/>
      <c r="O267" s="48"/>
      <c r="P267" s="48"/>
      <c r="Q267" s="48"/>
      <c r="R267" s="40"/>
      <c r="S267" s="40"/>
      <c r="T267" s="40"/>
      <c r="U267" s="40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9"/>
    </row>
    <row r="268" spans="1:35" x14ac:dyDescent="0.25">
      <c r="A268" s="48">
        <v>125</v>
      </c>
      <c r="B268" s="166" t="s">
        <v>922</v>
      </c>
      <c r="C268" s="166" t="s">
        <v>917</v>
      </c>
      <c r="D268" s="150">
        <f t="shared" si="12"/>
        <v>0</v>
      </c>
      <c r="E268" s="48"/>
      <c r="F268" s="48"/>
      <c r="G268" s="35"/>
      <c r="H268" s="35"/>
      <c r="I268" s="35"/>
      <c r="J268" s="35"/>
      <c r="K268" s="35"/>
      <c r="L268" s="35"/>
      <c r="M268" s="48"/>
      <c r="N268" s="48"/>
      <c r="O268" s="48"/>
      <c r="P268" s="48"/>
      <c r="Q268" s="48"/>
      <c r="R268" s="40"/>
      <c r="S268" s="40"/>
      <c r="T268" s="40"/>
      <c r="U268" s="40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9"/>
    </row>
    <row r="269" spans="1:35" x14ac:dyDescent="0.25">
      <c r="A269" s="48">
        <v>126</v>
      </c>
      <c r="B269" s="166" t="s">
        <v>923</v>
      </c>
      <c r="C269" s="166" t="s">
        <v>918</v>
      </c>
      <c r="D269" s="150">
        <f t="shared" si="12"/>
        <v>8000</v>
      </c>
      <c r="E269" s="48"/>
      <c r="F269" s="48"/>
      <c r="G269" s="35"/>
      <c r="H269" s="35"/>
      <c r="I269" s="35"/>
      <c r="J269" s="35"/>
      <c r="K269" s="35"/>
      <c r="L269" s="35"/>
      <c r="M269" s="48"/>
      <c r="N269" s="48"/>
      <c r="O269" s="48"/>
      <c r="P269" s="48"/>
      <c r="Q269" s="48"/>
      <c r="R269" s="40"/>
      <c r="S269" s="40"/>
      <c r="T269" s="40"/>
      <c r="U269" s="40"/>
      <c r="V269" s="48"/>
      <c r="W269" s="48">
        <v>8000</v>
      </c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9"/>
    </row>
    <row r="270" spans="1:35" x14ac:dyDescent="0.25">
      <c r="A270" s="48">
        <v>127</v>
      </c>
      <c r="B270" s="166" t="s">
        <v>157</v>
      </c>
      <c r="C270" s="166" t="s">
        <v>108</v>
      </c>
      <c r="D270" s="150">
        <f t="shared" si="12"/>
        <v>1000</v>
      </c>
      <c r="E270" s="48"/>
      <c r="F270" s="48"/>
      <c r="G270" s="35"/>
      <c r="H270" s="35"/>
      <c r="I270" s="35"/>
      <c r="J270" s="35"/>
      <c r="K270" s="35"/>
      <c r="L270" s="35"/>
      <c r="M270" s="48"/>
      <c r="N270" s="48">
        <v>1000</v>
      </c>
      <c r="O270" s="48"/>
      <c r="P270" s="48"/>
      <c r="Q270" s="48"/>
      <c r="R270" s="40"/>
      <c r="S270" s="40"/>
      <c r="T270" s="40"/>
      <c r="U270" s="40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9"/>
    </row>
    <row r="271" spans="1:35" x14ac:dyDescent="0.25">
      <c r="A271" s="48">
        <v>128</v>
      </c>
      <c r="B271" s="176" t="s">
        <v>883</v>
      </c>
      <c r="C271" s="176" t="s">
        <v>882</v>
      </c>
      <c r="D271" s="150">
        <f t="shared" si="12"/>
        <v>3460</v>
      </c>
      <c r="E271" s="48"/>
      <c r="F271" s="48"/>
      <c r="G271" s="35"/>
      <c r="H271" s="35"/>
      <c r="I271" s="35"/>
      <c r="J271" s="35"/>
      <c r="K271" s="35"/>
      <c r="L271" s="35"/>
      <c r="M271" s="48"/>
      <c r="N271" s="48"/>
      <c r="O271" s="48"/>
      <c r="P271" s="48"/>
      <c r="Q271" s="48"/>
      <c r="R271" s="40"/>
      <c r="S271" s="40"/>
      <c r="T271" s="40"/>
      <c r="U271" s="40"/>
      <c r="V271" s="48">
        <v>2680</v>
      </c>
      <c r="W271" s="48">
        <v>780</v>
      </c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9"/>
    </row>
    <row r="272" spans="1:35" x14ac:dyDescent="0.25">
      <c r="A272" s="48">
        <v>129</v>
      </c>
      <c r="B272" s="176" t="s">
        <v>886</v>
      </c>
      <c r="C272" s="176" t="s">
        <v>884</v>
      </c>
      <c r="D272" s="150">
        <f t="shared" si="12"/>
        <v>0</v>
      </c>
      <c r="E272" s="48"/>
      <c r="F272" s="48"/>
      <c r="G272" s="35"/>
      <c r="H272" s="35"/>
      <c r="I272" s="35"/>
      <c r="J272" s="35"/>
      <c r="K272" s="35"/>
      <c r="L272" s="35"/>
      <c r="M272" s="48"/>
      <c r="N272" s="48"/>
      <c r="O272" s="48"/>
      <c r="P272" s="48"/>
      <c r="Q272" s="48"/>
      <c r="R272" s="40"/>
      <c r="S272" s="40"/>
      <c r="T272" s="40"/>
      <c r="U272" s="40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9"/>
    </row>
    <row r="273" spans="1:35" x14ac:dyDescent="0.25">
      <c r="A273" s="48">
        <v>130</v>
      </c>
      <c r="B273" s="176" t="s">
        <v>887</v>
      </c>
      <c r="C273" s="176" t="s">
        <v>885</v>
      </c>
      <c r="D273" s="150">
        <f t="shared" ref="D273:D302" si="13">SUM(E273:AI273)</f>
        <v>0</v>
      </c>
      <c r="E273" s="48"/>
      <c r="F273" s="48"/>
      <c r="G273" s="35"/>
      <c r="H273" s="35"/>
      <c r="I273" s="35"/>
      <c r="J273" s="35"/>
      <c r="K273" s="35"/>
      <c r="L273" s="35"/>
      <c r="M273" s="48"/>
      <c r="N273" s="48"/>
      <c r="O273" s="48"/>
      <c r="P273" s="48"/>
      <c r="Q273" s="48"/>
      <c r="R273" s="40"/>
      <c r="S273" s="40"/>
      <c r="T273" s="40"/>
      <c r="U273" s="40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9"/>
    </row>
    <row r="274" spans="1:35" x14ac:dyDescent="0.25">
      <c r="A274" s="48">
        <v>131</v>
      </c>
      <c r="B274" s="166" t="s">
        <v>158</v>
      </c>
      <c r="C274" s="166" t="s">
        <v>109</v>
      </c>
      <c r="D274" s="150">
        <f t="shared" si="13"/>
        <v>1340</v>
      </c>
      <c r="E274" s="48"/>
      <c r="F274" s="48"/>
      <c r="G274" s="35"/>
      <c r="H274" s="35"/>
      <c r="I274" s="35"/>
      <c r="J274" s="35"/>
      <c r="K274" s="35"/>
      <c r="L274" s="35"/>
      <c r="M274" s="48"/>
      <c r="N274" s="48"/>
      <c r="O274" s="48"/>
      <c r="P274" s="48"/>
      <c r="Q274" s="48"/>
      <c r="R274" s="40"/>
      <c r="S274" s="40"/>
      <c r="T274" s="40"/>
      <c r="U274" s="40"/>
      <c r="V274" s="48"/>
      <c r="W274" s="48"/>
      <c r="X274" s="48"/>
      <c r="Y274" s="48"/>
      <c r="Z274" s="48"/>
      <c r="AA274" s="48"/>
      <c r="AB274" s="48"/>
      <c r="AC274" s="48"/>
      <c r="AD274" s="48"/>
      <c r="AE274" s="48">
        <v>1340</v>
      </c>
      <c r="AF274" s="48"/>
      <c r="AG274" s="48"/>
      <c r="AH274" s="48"/>
      <c r="AI274" s="49"/>
    </row>
    <row r="275" spans="1:35" x14ac:dyDescent="0.25">
      <c r="A275" s="48">
        <v>132</v>
      </c>
      <c r="B275" s="166" t="s">
        <v>715</v>
      </c>
      <c r="C275" s="166" t="s">
        <v>713</v>
      </c>
      <c r="D275" s="150">
        <f t="shared" si="13"/>
        <v>0</v>
      </c>
      <c r="E275" s="48"/>
      <c r="F275" s="48"/>
      <c r="G275" s="35"/>
      <c r="H275" s="35"/>
      <c r="I275" s="35"/>
      <c r="J275" s="35"/>
      <c r="K275" s="35"/>
      <c r="L275" s="35"/>
      <c r="M275" s="48"/>
      <c r="N275" s="48"/>
      <c r="O275" s="48"/>
      <c r="P275" s="48"/>
      <c r="Q275" s="48"/>
      <c r="R275" s="40"/>
      <c r="S275" s="40"/>
      <c r="T275" s="40"/>
      <c r="U275" s="40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9"/>
    </row>
    <row r="276" spans="1:35" x14ac:dyDescent="0.25">
      <c r="A276" s="48">
        <v>133</v>
      </c>
      <c r="B276" s="166" t="s">
        <v>716</v>
      </c>
      <c r="C276" s="166" t="s">
        <v>714</v>
      </c>
      <c r="D276" s="150">
        <f t="shared" si="13"/>
        <v>0</v>
      </c>
      <c r="E276" s="48"/>
      <c r="F276" s="48"/>
      <c r="G276" s="35"/>
      <c r="H276" s="35"/>
      <c r="I276" s="35"/>
      <c r="J276" s="35"/>
      <c r="K276" s="35"/>
      <c r="L276" s="35"/>
      <c r="M276" s="48"/>
      <c r="N276" s="48"/>
      <c r="O276" s="48"/>
      <c r="P276" s="48"/>
      <c r="Q276" s="48"/>
      <c r="R276" s="40"/>
      <c r="S276" s="40"/>
      <c r="T276" s="40"/>
      <c r="U276" s="40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9"/>
    </row>
    <row r="277" spans="1:35" x14ac:dyDescent="0.25">
      <c r="A277" s="48">
        <v>134</v>
      </c>
      <c r="B277" s="166" t="s">
        <v>718</v>
      </c>
      <c r="C277" s="166" t="s">
        <v>717</v>
      </c>
      <c r="D277" s="150">
        <f t="shared" si="13"/>
        <v>0</v>
      </c>
      <c r="E277" s="48"/>
      <c r="F277" s="48"/>
      <c r="G277" s="35"/>
      <c r="H277" s="35"/>
      <c r="I277" s="35"/>
      <c r="J277" s="35"/>
      <c r="K277" s="35"/>
      <c r="L277" s="35"/>
      <c r="M277" s="48"/>
      <c r="N277" s="48"/>
      <c r="O277" s="48"/>
      <c r="P277" s="48"/>
      <c r="Q277" s="48"/>
      <c r="R277" s="40"/>
      <c r="S277" s="40"/>
      <c r="T277" s="40"/>
      <c r="U277" s="40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9"/>
    </row>
    <row r="278" spans="1:35" x14ac:dyDescent="0.25">
      <c r="A278" s="48">
        <v>135</v>
      </c>
      <c r="B278" s="176" t="s">
        <v>1079</v>
      </c>
      <c r="C278" s="176" t="s">
        <v>1077</v>
      </c>
      <c r="D278" s="150">
        <f t="shared" si="13"/>
        <v>4800</v>
      </c>
      <c r="E278" s="48"/>
      <c r="F278" s="48"/>
      <c r="G278" s="35"/>
      <c r="H278" s="35"/>
      <c r="I278" s="35"/>
      <c r="J278" s="35"/>
      <c r="K278" s="35"/>
      <c r="L278" s="35"/>
      <c r="M278" s="48"/>
      <c r="N278" s="48"/>
      <c r="O278" s="48"/>
      <c r="P278" s="48"/>
      <c r="Q278" s="48"/>
      <c r="R278" s="40"/>
      <c r="S278" s="40"/>
      <c r="T278" s="40"/>
      <c r="U278" s="40"/>
      <c r="V278" s="48"/>
      <c r="W278" s="48">
        <v>4800</v>
      </c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9"/>
    </row>
    <row r="279" spans="1:35" x14ac:dyDescent="0.25">
      <c r="A279" s="48">
        <v>136</v>
      </c>
      <c r="B279" s="176" t="s">
        <v>1080</v>
      </c>
      <c r="C279" s="176" t="s">
        <v>1078</v>
      </c>
      <c r="D279" s="150">
        <f t="shared" si="13"/>
        <v>3900</v>
      </c>
      <c r="E279" s="48"/>
      <c r="F279" s="48"/>
      <c r="G279" s="35"/>
      <c r="H279" s="35"/>
      <c r="I279" s="35"/>
      <c r="J279" s="35"/>
      <c r="K279" s="35"/>
      <c r="L279" s="35"/>
      <c r="M279" s="48"/>
      <c r="N279" s="48"/>
      <c r="O279" s="48"/>
      <c r="P279" s="48"/>
      <c r="Q279" s="48"/>
      <c r="R279" s="40"/>
      <c r="S279" s="40"/>
      <c r="T279" s="40"/>
      <c r="U279" s="40"/>
      <c r="V279" s="48">
        <v>2100</v>
      </c>
      <c r="W279" s="48">
        <v>1800</v>
      </c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9"/>
    </row>
    <row r="280" spans="1:35" x14ac:dyDescent="0.25">
      <c r="A280" s="48">
        <v>137</v>
      </c>
      <c r="B280" s="176" t="s">
        <v>1082</v>
      </c>
      <c r="C280" s="176" t="s">
        <v>1081</v>
      </c>
      <c r="D280" s="150">
        <f t="shared" si="13"/>
        <v>2800</v>
      </c>
      <c r="E280" s="48"/>
      <c r="F280" s="48"/>
      <c r="G280" s="35"/>
      <c r="H280" s="35"/>
      <c r="I280" s="35"/>
      <c r="J280" s="35"/>
      <c r="K280" s="35"/>
      <c r="L280" s="35"/>
      <c r="M280" s="48"/>
      <c r="N280" s="48"/>
      <c r="O280" s="48"/>
      <c r="P280" s="48"/>
      <c r="Q280" s="48"/>
      <c r="R280" s="40"/>
      <c r="S280" s="40"/>
      <c r="T280" s="40"/>
      <c r="U280" s="40"/>
      <c r="V280" s="48">
        <v>2800</v>
      </c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9"/>
    </row>
    <row r="281" spans="1:35" x14ac:dyDescent="0.25">
      <c r="A281" s="48">
        <v>138</v>
      </c>
      <c r="B281" s="166" t="s">
        <v>913</v>
      </c>
      <c r="C281" s="166" t="s">
        <v>912</v>
      </c>
      <c r="D281" s="150">
        <f t="shared" si="13"/>
        <v>0</v>
      </c>
      <c r="E281" s="48"/>
      <c r="F281" s="48"/>
      <c r="G281" s="35"/>
      <c r="H281" s="35"/>
      <c r="I281" s="35"/>
      <c r="J281" s="35"/>
      <c r="K281" s="35"/>
      <c r="L281" s="35"/>
      <c r="M281" s="48"/>
      <c r="N281" s="48"/>
      <c r="O281" s="48"/>
      <c r="P281" s="48"/>
      <c r="Q281" s="48"/>
      <c r="R281" s="40"/>
      <c r="S281" s="40"/>
      <c r="T281" s="40"/>
      <c r="U281" s="40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9"/>
    </row>
    <row r="282" spans="1:35" x14ac:dyDescent="0.25">
      <c r="A282" s="48">
        <v>139</v>
      </c>
      <c r="B282" s="166" t="s">
        <v>802</v>
      </c>
      <c r="C282" s="166" t="s">
        <v>801</v>
      </c>
      <c r="D282" s="150">
        <f t="shared" si="13"/>
        <v>9000</v>
      </c>
      <c r="E282" s="48"/>
      <c r="F282" s="48"/>
      <c r="G282" s="35"/>
      <c r="H282" s="35"/>
      <c r="I282" s="35"/>
      <c r="J282" s="35"/>
      <c r="K282" s="35"/>
      <c r="L282" s="35"/>
      <c r="M282" s="48">
        <v>9000</v>
      </c>
      <c r="N282" s="48"/>
      <c r="O282" s="48"/>
      <c r="P282" s="48"/>
      <c r="Q282" s="48"/>
      <c r="R282" s="40"/>
      <c r="S282" s="40"/>
      <c r="T282" s="40"/>
      <c r="U282" s="40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9"/>
    </row>
    <row r="283" spans="1:35" x14ac:dyDescent="0.25">
      <c r="A283" s="48">
        <v>140</v>
      </c>
      <c r="B283" s="166" t="s">
        <v>545</v>
      </c>
      <c r="C283" s="166" t="s">
        <v>544</v>
      </c>
      <c r="D283" s="150">
        <f t="shared" si="13"/>
        <v>2102</v>
      </c>
      <c r="E283" s="48"/>
      <c r="F283" s="48"/>
      <c r="G283" s="35"/>
      <c r="H283" s="35">
        <v>1123</v>
      </c>
      <c r="I283" s="35"/>
      <c r="J283" s="35"/>
      <c r="K283" s="35"/>
      <c r="L283" s="35"/>
      <c r="M283" s="48"/>
      <c r="N283" s="48"/>
      <c r="O283" s="48"/>
      <c r="P283" s="48"/>
      <c r="Q283" s="48"/>
      <c r="R283" s="40"/>
      <c r="S283" s="40"/>
      <c r="T283" s="40"/>
      <c r="U283" s="40"/>
      <c r="V283" s="48"/>
      <c r="W283" s="48"/>
      <c r="X283" s="48"/>
      <c r="Y283" s="48"/>
      <c r="Z283" s="48"/>
      <c r="AA283" s="48"/>
      <c r="AB283" s="48"/>
      <c r="AC283" s="48"/>
      <c r="AD283" s="48"/>
      <c r="AE283" s="48">
        <v>979</v>
      </c>
      <c r="AF283" s="48"/>
      <c r="AG283" s="48"/>
      <c r="AH283" s="48"/>
      <c r="AI283" s="49"/>
    </row>
    <row r="284" spans="1:35" x14ac:dyDescent="0.25">
      <c r="A284" s="48">
        <v>141</v>
      </c>
      <c r="B284" s="166" t="s">
        <v>574</v>
      </c>
      <c r="C284" s="166" t="s">
        <v>572</v>
      </c>
      <c r="D284" s="150">
        <f t="shared" si="13"/>
        <v>780</v>
      </c>
      <c r="E284" s="48"/>
      <c r="F284" s="48"/>
      <c r="G284" s="35"/>
      <c r="H284" s="35"/>
      <c r="I284" s="35"/>
      <c r="J284" s="35"/>
      <c r="K284" s="35">
        <v>780</v>
      </c>
      <c r="L284" s="35"/>
      <c r="M284" s="48"/>
      <c r="N284" s="48"/>
      <c r="O284" s="48"/>
      <c r="P284" s="48"/>
      <c r="Q284" s="48"/>
      <c r="R284" s="40"/>
      <c r="S284" s="40"/>
      <c r="T284" s="40"/>
      <c r="U284" s="40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9"/>
    </row>
    <row r="285" spans="1:35" x14ac:dyDescent="0.25">
      <c r="A285" s="48">
        <v>142</v>
      </c>
      <c r="B285" s="166" t="s">
        <v>575</v>
      </c>
      <c r="C285" s="166" t="s">
        <v>573</v>
      </c>
      <c r="D285" s="150">
        <f t="shared" si="13"/>
        <v>1780</v>
      </c>
      <c r="E285" s="48"/>
      <c r="F285" s="48"/>
      <c r="G285" s="35"/>
      <c r="H285" s="35"/>
      <c r="I285" s="35"/>
      <c r="J285" s="35"/>
      <c r="K285" s="35"/>
      <c r="L285" s="35">
        <v>800</v>
      </c>
      <c r="M285" s="48">
        <v>200</v>
      </c>
      <c r="N285" s="48"/>
      <c r="O285" s="48"/>
      <c r="P285" s="48"/>
      <c r="Q285" s="48"/>
      <c r="R285" s="40"/>
      <c r="S285" s="40"/>
      <c r="T285" s="40"/>
      <c r="U285" s="40"/>
      <c r="V285" s="48"/>
      <c r="W285" s="48"/>
      <c r="X285" s="48"/>
      <c r="Y285" s="48"/>
      <c r="Z285" s="48"/>
      <c r="AA285" s="48"/>
      <c r="AB285" s="48"/>
      <c r="AC285" s="48">
        <v>522</v>
      </c>
      <c r="AD285" s="48"/>
      <c r="AE285" s="48">
        <v>258</v>
      </c>
      <c r="AF285" s="48"/>
      <c r="AG285" s="48"/>
      <c r="AH285" s="48"/>
      <c r="AI285" s="49"/>
    </row>
    <row r="286" spans="1:35" x14ac:dyDescent="0.25">
      <c r="A286" s="48">
        <v>143</v>
      </c>
      <c r="B286" s="166" t="s">
        <v>1010</v>
      </c>
      <c r="C286" s="166" t="s">
        <v>1005</v>
      </c>
      <c r="D286" s="150">
        <f t="shared" si="13"/>
        <v>3000</v>
      </c>
      <c r="E286" s="48"/>
      <c r="F286" s="48"/>
      <c r="G286" s="35"/>
      <c r="H286" s="35"/>
      <c r="I286" s="35"/>
      <c r="J286" s="35"/>
      <c r="K286" s="35"/>
      <c r="L286" s="35"/>
      <c r="M286" s="48">
        <v>400</v>
      </c>
      <c r="N286" s="48">
        <v>2597</v>
      </c>
      <c r="O286" s="48"/>
      <c r="P286" s="48"/>
      <c r="Q286" s="48"/>
      <c r="R286" s="40"/>
      <c r="S286" s="40"/>
      <c r="T286" s="40"/>
      <c r="U286" s="40"/>
      <c r="V286" s="48"/>
      <c r="W286" s="48"/>
      <c r="X286" s="48"/>
      <c r="Y286" s="48"/>
      <c r="Z286" s="48"/>
      <c r="AA286" s="48"/>
      <c r="AB286" s="48"/>
      <c r="AC286" s="48">
        <v>3</v>
      </c>
      <c r="AD286" s="48"/>
      <c r="AE286" s="48"/>
      <c r="AF286" s="48"/>
      <c r="AG286" s="48"/>
      <c r="AH286" s="48"/>
      <c r="AI286" s="49"/>
    </row>
    <row r="287" spans="1:35" x14ac:dyDescent="0.25">
      <c r="A287" s="48">
        <v>144</v>
      </c>
      <c r="B287" s="166" t="s">
        <v>1011</v>
      </c>
      <c r="C287" s="166" t="s">
        <v>1006</v>
      </c>
      <c r="D287" s="150">
        <f t="shared" si="13"/>
        <v>780</v>
      </c>
      <c r="E287" s="48"/>
      <c r="F287" s="48"/>
      <c r="G287" s="35"/>
      <c r="H287" s="35"/>
      <c r="I287" s="35"/>
      <c r="J287" s="35"/>
      <c r="K287" s="35"/>
      <c r="L287" s="35"/>
      <c r="M287" s="48"/>
      <c r="N287" s="48">
        <v>780</v>
      </c>
      <c r="O287" s="48"/>
      <c r="P287" s="48"/>
      <c r="Q287" s="48"/>
      <c r="R287" s="40"/>
      <c r="S287" s="40"/>
      <c r="T287" s="40"/>
      <c r="U287" s="40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9"/>
    </row>
    <row r="288" spans="1:35" x14ac:dyDescent="0.25">
      <c r="A288" s="48">
        <v>145</v>
      </c>
      <c r="B288" s="166" t="s">
        <v>1012</v>
      </c>
      <c r="C288" s="166" t="s">
        <v>1007</v>
      </c>
      <c r="D288" s="150">
        <f t="shared" si="13"/>
        <v>1000</v>
      </c>
      <c r="E288" s="48"/>
      <c r="F288" s="48"/>
      <c r="G288" s="35"/>
      <c r="H288" s="35"/>
      <c r="I288" s="35"/>
      <c r="J288" s="35"/>
      <c r="K288" s="35"/>
      <c r="L288" s="35"/>
      <c r="M288" s="48"/>
      <c r="N288" s="48">
        <v>1000</v>
      </c>
      <c r="O288" s="48"/>
      <c r="P288" s="48"/>
      <c r="Q288" s="48"/>
      <c r="R288" s="40"/>
      <c r="S288" s="40"/>
      <c r="T288" s="40"/>
      <c r="U288" s="40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9"/>
    </row>
    <row r="289" spans="1:35" x14ac:dyDescent="0.25">
      <c r="A289" s="48">
        <v>146</v>
      </c>
      <c r="B289" s="166" t="s">
        <v>1013</v>
      </c>
      <c r="C289" s="166" t="s">
        <v>1008</v>
      </c>
      <c r="D289" s="150">
        <f t="shared" si="13"/>
        <v>1180</v>
      </c>
      <c r="E289" s="48"/>
      <c r="F289" s="48"/>
      <c r="G289" s="35"/>
      <c r="H289" s="35"/>
      <c r="I289" s="35"/>
      <c r="J289" s="35"/>
      <c r="K289" s="35"/>
      <c r="L289" s="35"/>
      <c r="M289" s="48"/>
      <c r="N289" s="48"/>
      <c r="O289" s="48"/>
      <c r="P289" s="48"/>
      <c r="Q289" s="48"/>
      <c r="R289" s="40"/>
      <c r="S289" s="40"/>
      <c r="T289" s="40"/>
      <c r="U289" s="40">
        <v>1180</v>
      </c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9"/>
    </row>
    <row r="290" spans="1:35" x14ac:dyDescent="0.25">
      <c r="A290" s="48">
        <v>147</v>
      </c>
      <c r="B290" s="166" t="s">
        <v>1014</v>
      </c>
      <c r="C290" s="166" t="s">
        <v>1009</v>
      </c>
      <c r="D290" s="150">
        <f t="shared" si="13"/>
        <v>280</v>
      </c>
      <c r="E290" s="48"/>
      <c r="F290" s="48"/>
      <c r="G290" s="35"/>
      <c r="H290" s="35"/>
      <c r="I290" s="35"/>
      <c r="J290" s="35"/>
      <c r="K290" s="35"/>
      <c r="L290" s="35"/>
      <c r="M290" s="48"/>
      <c r="N290" s="48"/>
      <c r="O290" s="48"/>
      <c r="P290" s="48"/>
      <c r="Q290" s="48"/>
      <c r="R290" s="40"/>
      <c r="S290" s="40"/>
      <c r="T290" s="40"/>
      <c r="U290" s="40">
        <v>280</v>
      </c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9"/>
    </row>
    <row r="291" spans="1:35" x14ac:dyDescent="0.25">
      <c r="A291" s="48">
        <v>148</v>
      </c>
      <c r="B291" s="166" t="s">
        <v>1016</v>
      </c>
      <c r="C291" s="166" t="s">
        <v>1015</v>
      </c>
      <c r="D291" s="150">
        <f t="shared" si="13"/>
        <v>100</v>
      </c>
      <c r="E291" s="48"/>
      <c r="F291" s="48"/>
      <c r="G291" s="35"/>
      <c r="H291" s="35"/>
      <c r="I291" s="35"/>
      <c r="J291" s="35"/>
      <c r="K291" s="35"/>
      <c r="L291" s="35"/>
      <c r="M291" s="48"/>
      <c r="N291" s="48"/>
      <c r="O291" s="48">
        <v>100</v>
      </c>
      <c r="P291" s="48"/>
      <c r="Q291" s="48"/>
      <c r="R291" s="40"/>
      <c r="S291" s="40"/>
      <c r="T291" s="40"/>
      <c r="U291" s="40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9"/>
    </row>
    <row r="292" spans="1:35" x14ac:dyDescent="0.25">
      <c r="A292" s="48">
        <v>149</v>
      </c>
      <c r="B292" s="166" t="s">
        <v>577</v>
      </c>
      <c r="C292" s="166" t="s">
        <v>576</v>
      </c>
      <c r="D292" s="150">
        <f t="shared" si="13"/>
        <v>6800</v>
      </c>
      <c r="E292" s="48"/>
      <c r="F292" s="48"/>
      <c r="G292" s="35"/>
      <c r="H292" s="35"/>
      <c r="I292" s="35"/>
      <c r="J292" s="35"/>
      <c r="K292" s="35">
        <v>3000</v>
      </c>
      <c r="L292" s="35"/>
      <c r="M292" s="48"/>
      <c r="N292" s="48"/>
      <c r="O292" s="48"/>
      <c r="P292" s="48"/>
      <c r="Q292" s="48"/>
      <c r="R292" s="40"/>
      <c r="S292" s="40"/>
      <c r="T292" s="40"/>
      <c r="U292" s="40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>
        <v>3800</v>
      </c>
      <c r="AG292" s="48"/>
      <c r="AH292" s="48"/>
      <c r="AI292" s="49"/>
    </row>
    <row r="293" spans="1:35" x14ac:dyDescent="0.25">
      <c r="A293" s="48">
        <v>150</v>
      </c>
      <c r="B293" s="166" t="s">
        <v>1018</v>
      </c>
      <c r="C293" s="166" t="s">
        <v>1017</v>
      </c>
      <c r="D293" s="150">
        <f t="shared" si="13"/>
        <v>100</v>
      </c>
      <c r="E293" s="48"/>
      <c r="F293" s="48"/>
      <c r="G293" s="35"/>
      <c r="H293" s="35"/>
      <c r="I293" s="35"/>
      <c r="J293" s="35"/>
      <c r="K293" s="35"/>
      <c r="L293" s="35"/>
      <c r="M293" s="48"/>
      <c r="N293" s="48"/>
      <c r="O293" s="48">
        <v>100</v>
      </c>
      <c r="P293" s="48"/>
      <c r="Q293" s="48"/>
      <c r="R293" s="40"/>
      <c r="S293" s="40"/>
      <c r="T293" s="40"/>
      <c r="U293" s="40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9"/>
    </row>
    <row r="294" spans="1:35" x14ac:dyDescent="0.25">
      <c r="A294" s="48">
        <v>151</v>
      </c>
      <c r="B294" s="166" t="s">
        <v>563</v>
      </c>
      <c r="C294" s="166" t="s">
        <v>558</v>
      </c>
      <c r="D294" s="150">
        <f t="shared" si="13"/>
        <v>120</v>
      </c>
      <c r="E294" s="48"/>
      <c r="F294" s="48"/>
      <c r="G294" s="35"/>
      <c r="H294" s="35"/>
      <c r="I294" s="35"/>
      <c r="J294" s="35"/>
      <c r="K294" s="35"/>
      <c r="L294" s="35"/>
      <c r="M294" s="48"/>
      <c r="N294" s="48"/>
      <c r="O294" s="48"/>
      <c r="P294" s="48"/>
      <c r="Q294" s="48"/>
      <c r="R294" s="40"/>
      <c r="S294" s="40"/>
      <c r="T294" s="40"/>
      <c r="U294" s="40"/>
      <c r="V294" s="48"/>
      <c r="W294" s="48"/>
      <c r="X294" s="48"/>
      <c r="Y294" s="48"/>
      <c r="Z294" s="48"/>
      <c r="AA294" s="48">
        <v>120</v>
      </c>
      <c r="AB294" s="48"/>
      <c r="AC294" s="48"/>
      <c r="AD294" s="48"/>
      <c r="AE294" s="48"/>
      <c r="AF294" s="48"/>
      <c r="AG294" s="48"/>
      <c r="AH294" s="48"/>
      <c r="AI294" s="49"/>
    </row>
    <row r="295" spans="1:35" x14ac:dyDescent="0.25">
      <c r="A295" s="48">
        <v>152</v>
      </c>
      <c r="B295" s="166" t="s">
        <v>564</v>
      </c>
      <c r="C295" s="166" t="s">
        <v>559</v>
      </c>
      <c r="D295" s="150">
        <f t="shared" si="13"/>
        <v>700</v>
      </c>
      <c r="E295" s="48"/>
      <c r="F295" s="48"/>
      <c r="G295" s="35"/>
      <c r="H295" s="35">
        <v>700</v>
      </c>
      <c r="I295" s="35"/>
      <c r="J295" s="35"/>
      <c r="K295" s="35"/>
      <c r="L295" s="35"/>
      <c r="M295" s="48"/>
      <c r="N295" s="48"/>
      <c r="O295" s="48"/>
      <c r="P295" s="48"/>
      <c r="Q295" s="48"/>
      <c r="R295" s="40"/>
      <c r="S295" s="40"/>
      <c r="T295" s="40"/>
      <c r="U295" s="40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9"/>
    </row>
    <row r="296" spans="1:35" x14ac:dyDescent="0.25">
      <c r="A296" s="48">
        <v>153</v>
      </c>
      <c r="B296" s="166" t="s">
        <v>565</v>
      </c>
      <c r="C296" s="166" t="s">
        <v>560</v>
      </c>
      <c r="D296" s="150">
        <f t="shared" si="13"/>
        <v>100</v>
      </c>
      <c r="E296" s="48"/>
      <c r="F296" s="48"/>
      <c r="G296" s="35"/>
      <c r="H296" s="35">
        <v>100</v>
      </c>
      <c r="I296" s="35"/>
      <c r="J296" s="35"/>
      <c r="K296" s="35"/>
      <c r="L296" s="35"/>
      <c r="M296" s="48"/>
      <c r="N296" s="48"/>
      <c r="O296" s="48"/>
      <c r="P296" s="48"/>
      <c r="Q296" s="48"/>
      <c r="R296" s="40"/>
      <c r="S296" s="40"/>
      <c r="T296" s="40"/>
      <c r="U296" s="40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9"/>
    </row>
    <row r="297" spans="1:35" x14ac:dyDescent="0.25">
      <c r="A297" s="48">
        <v>154</v>
      </c>
      <c r="B297" s="176" t="s">
        <v>1220</v>
      </c>
      <c r="C297" s="176" t="s">
        <v>1219</v>
      </c>
      <c r="D297" s="150">
        <f t="shared" si="13"/>
        <v>10000</v>
      </c>
      <c r="E297" s="48"/>
      <c r="F297" s="48"/>
      <c r="G297" s="35"/>
      <c r="H297" s="35"/>
      <c r="I297" s="35"/>
      <c r="J297" s="35"/>
      <c r="K297" s="35"/>
      <c r="L297" s="35"/>
      <c r="M297" s="48"/>
      <c r="N297" s="48"/>
      <c r="O297" s="48"/>
      <c r="P297" s="48"/>
      <c r="Q297" s="48"/>
      <c r="R297" s="40"/>
      <c r="S297" s="40"/>
      <c r="T297" s="40"/>
      <c r="U297" s="40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>
        <v>8000</v>
      </c>
      <c r="AG297" s="48">
        <v>1680</v>
      </c>
      <c r="AH297" s="48"/>
      <c r="AI297" s="49">
        <v>320</v>
      </c>
    </row>
    <row r="298" spans="1:35" x14ac:dyDescent="0.25">
      <c r="A298" s="48">
        <v>155</v>
      </c>
      <c r="B298" s="166" t="s">
        <v>566</v>
      </c>
      <c r="C298" s="166" t="s">
        <v>561</v>
      </c>
      <c r="D298" s="150">
        <f t="shared" si="13"/>
        <v>2120</v>
      </c>
      <c r="E298" s="48"/>
      <c r="F298" s="48"/>
      <c r="G298" s="35"/>
      <c r="H298" s="35"/>
      <c r="I298" s="35"/>
      <c r="J298" s="35"/>
      <c r="K298" s="35">
        <v>320</v>
      </c>
      <c r="L298" s="35"/>
      <c r="M298" s="48"/>
      <c r="N298" s="48"/>
      <c r="O298" s="48"/>
      <c r="P298" s="48"/>
      <c r="Q298" s="48"/>
      <c r="R298" s="40"/>
      <c r="S298" s="40"/>
      <c r="T298" s="40"/>
      <c r="U298" s="40"/>
      <c r="V298" s="48"/>
      <c r="W298" s="48"/>
      <c r="X298" s="48"/>
      <c r="Y298" s="48"/>
      <c r="Z298" s="48"/>
      <c r="AA298" s="48"/>
      <c r="AB298" s="48">
        <v>1800</v>
      </c>
      <c r="AC298" s="48"/>
      <c r="AD298" s="48"/>
      <c r="AE298" s="48"/>
      <c r="AF298" s="48"/>
      <c r="AG298" s="48"/>
      <c r="AH298" s="48"/>
      <c r="AI298" s="49"/>
    </row>
    <row r="299" spans="1:35" x14ac:dyDescent="0.25">
      <c r="A299" s="48">
        <v>156</v>
      </c>
      <c r="B299" s="166" t="s">
        <v>567</v>
      </c>
      <c r="C299" s="166" t="s">
        <v>562</v>
      </c>
      <c r="D299" s="150">
        <f t="shared" si="13"/>
        <v>0</v>
      </c>
      <c r="E299" s="48"/>
      <c r="F299" s="48"/>
      <c r="G299" s="35"/>
      <c r="H299" s="35"/>
      <c r="I299" s="35"/>
      <c r="J299" s="35"/>
      <c r="K299" s="35"/>
      <c r="L299" s="35"/>
      <c r="M299" s="48"/>
      <c r="N299" s="48"/>
      <c r="O299" s="48"/>
      <c r="P299" s="48"/>
      <c r="Q299" s="48"/>
      <c r="R299" s="40"/>
      <c r="S299" s="40"/>
      <c r="T299" s="40"/>
      <c r="U299" s="40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9"/>
    </row>
    <row r="300" spans="1:35" x14ac:dyDescent="0.25">
      <c r="A300" s="48">
        <v>157</v>
      </c>
      <c r="B300" s="166" t="s">
        <v>410</v>
      </c>
      <c r="C300" s="166" t="s">
        <v>409</v>
      </c>
      <c r="D300" s="150">
        <f t="shared" si="13"/>
        <v>0</v>
      </c>
      <c r="E300" s="48"/>
      <c r="F300" s="48"/>
      <c r="G300" s="35"/>
      <c r="H300" s="35"/>
      <c r="I300" s="35"/>
      <c r="J300" s="35"/>
      <c r="K300" s="35"/>
      <c r="L300" s="35"/>
      <c r="M300" s="48"/>
      <c r="N300" s="48"/>
      <c r="O300" s="48"/>
      <c r="P300" s="48"/>
      <c r="Q300" s="48"/>
      <c r="R300" s="40"/>
      <c r="S300" s="40"/>
      <c r="T300" s="40"/>
      <c r="U300" s="40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9"/>
    </row>
    <row r="301" spans="1:35" x14ac:dyDescent="0.25">
      <c r="A301" s="48">
        <v>158</v>
      </c>
      <c r="B301" s="166" t="s">
        <v>412</v>
      </c>
      <c r="C301" s="166" t="s">
        <v>411</v>
      </c>
      <c r="D301" s="150">
        <f t="shared" si="13"/>
        <v>15610</v>
      </c>
      <c r="E301" s="48"/>
      <c r="F301" s="48"/>
      <c r="G301" s="35"/>
      <c r="H301" s="35">
        <v>3740</v>
      </c>
      <c r="I301" s="35">
        <v>3260</v>
      </c>
      <c r="J301" s="35"/>
      <c r="K301" s="35">
        <v>4000</v>
      </c>
      <c r="L301" s="35">
        <v>2104</v>
      </c>
      <c r="M301" s="48">
        <v>206</v>
      </c>
      <c r="N301" s="48">
        <v>600</v>
      </c>
      <c r="O301" s="48"/>
      <c r="P301" s="48"/>
      <c r="Q301" s="48"/>
      <c r="R301" s="40"/>
      <c r="S301" s="40"/>
      <c r="T301" s="40"/>
      <c r="U301" s="40"/>
      <c r="V301" s="48"/>
      <c r="W301" s="48"/>
      <c r="X301" s="48"/>
      <c r="Y301" s="48"/>
      <c r="Z301" s="48"/>
      <c r="AA301" s="48">
        <v>90</v>
      </c>
      <c r="AB301" s="48">
        <v>1610</v>
      </c>
      <c r="AC301" s="48"/>
      <c r="AD301" s="48"/>
      <c r="AE301" s="48"/>
      <c r="AF301" s="48"/>
      <c r="AG301" s="48"/>
      <c r="AH301" s="48"/>
      <c r="AI301" s="49"/>
    </row>
    <row r="302" spans="1:35" x14ac:dyDescent="0.25">
      <c r="A302" s="48">
        <v>159</v>
      </c>
      <c r="B302" s="166" t="s">
        <v>768</v>
      </c>
      <c r="C302" s="166" t="s">
        <v>767</v>
      </c>
      <c r="D302" s="150">
        <f t="shared" si="13"/>
        <v>500</v>
      </c>
      <c r="E302" s="48"/>
      <c r="F302" s="48"/>
      <c r="G302" s="35"/>
      <c r="H302" s="35"/>
      <c r="I302" s="35"/>
      <c r="J302" s="35"/>
      <c r="K302" s="35"/>
      <c r="L302" s="35"/>
      <c r="M302" s="48"/>
      <c r="N302" s="48"/>
      <c r="O302" s="48"/>
      <c r="P302" s="48"/>
      <c r="Q302" s="48"/>
      <c r="R302" s="40"/>
      <c r="S302" s="40"/>
      <c r="T302" s="40"/>
      <c r="U302" s="40"/>
      <c r="V302" s="48"/>
      <c r="W302" s="48"/>
      <c r="X302" s="48"/>
      <c r="Y302" s="48"/>
      <c r="Z302" s="48">
        <v>500</v>
      </c>
      <c r="AA302" s="48"/>
      <c r="AB302" s="48"/>
      <c r="AC302" s="48"/>
      <c r="AD302" s="48"/>
      <c r="AE302" s="48"/>
      <c r="AF302" s="48"/>
      <c r="AG302" s="48"/>
      <c r="AH302" s="48"/>
      <c r="AI302" s="49"/>
    </row>
    <row r="303" spans="1:35" x14ac:dyDescent="0.25">
      <c r="A303" s="141" t="s">
        <v>140</v>
      </c>
      <c r="B303" s="167" t="s">
        <v>124</v>
      </c>
      <c r="C303" s="167" t="s">
        <v>141</v>
      </c>
      <c r="D303" s="143">
        <f t="shared" ref="D303:AI303" si="14">SUM(D304:D335)</f>
        <v>377462</v>
      </c>
      <c r="E303" s="143">
        <f t="shared" si="14"/>
        <v>1264</v>
      </c>
      <c r="F303" s="143">
        <f t="shared" si="14"/>
        <v>0</v>
      </c>
      <c r="G303" s="143">
        <f t="shared" si="14"/>
        <v>13352</v>
      </c>
      <c r="H303" s="143">
        <f t="shared" si="14"/>
        <v>2720</v>
      </c>
      <c r="I303" s="143">
        <f t="shared" si="14"/>
        <v>32646</v>
      </c>
      <c r="J303" s="143">
        <f t="shared" si="14"/>
        <v>48049</v>
      </c>
      <c r="K303" s="143">
        <f t="shared" si="14"/>
        <v>3232</v>
      </c>
      <c r="L303" s="143">
        <f t="shared" si="14"/>
        <v>6356</v>
      </c>
      <c r="M303" s="143">
        <f t="shared" si="14"/>
        <v>31980</v>
      </c>
      <c r="N303" s="143">
        <f t="shared" si="14"/>
        <v>56682</v>
      </c>
      <c r="O303" s="143">
        <f t="shared" si="14"/>
        <v>13323</v>
      </c>
      <c r="P303" s="143">
        <f t="shared" si="14"/>
        <v>2012</v>
      </c>
      <c r="Q303" s="143">
        <f t="shared" si="14"/>
        <v>2000</v>
      </c>
      <c r="R303" s="143">
        <f t="shared" si="14"/>
        <v>0</v>
      </c>
      <c r="S303" s="143">
        <f t="shared" si="14"/>
        <v>0</v>
      </c>
      <c r="T303" s="143">
        <f t="shared" si="14"/>
        <v>0</v>
      </c>
      <c r="U303" s="143">
        <f t="shared" si="14"/>
        <v>29109</v>
      </c>
      <c r="V303" s="143">
        <f t="shared" si="14"/>
        <v>27400</v>
      </c>
      <c r="W303" s="143">
        <f t="shared" si="14"/>
        <v>9236</v>
      </c>
      <c r="X303" s="143">
        <f t="shared" si="14"/>
        <v>52896</v>
      </c>
      <c r="Y303" s="143">
        <f t="shared" si="14"/>
        <v>10168</v>
      </c>
      <c r="Z303" s="143">
        <f t="shared" si="14"/>
        <v>0</v>
      </c>
      <c r="AA303" s="143">
        <f t="shared" si="14"/>
        <v>2992</v>
      </c>
      <c r="AB303" s="143">
        <f t="shared" si="14"/>
        <v>1040</v>
      </c>
      <c r="AC303" s="143">
        <f t="shared" si="14"/>
        <v>4516</v>
      </c>
      <c r="AD303" s="143">
        <f t="shared" si="14"/>
        <v>3470</v>
      </c>
      <c r="AE303" s="143">
        <f t="shared" si="14"/>
        <v>2135</v>
      </c>
      <c r="AF303" s="143">
        <f t="shared" si="14"/>
        <v>8800</v>
      </c>
      <c r="AG303" s="143">
        <f t="shared" si="14"/>
        <v>3906</v>
      </c>
      <c r="AH303" s="143">
        <f t="shared" si="14"/>
        <v>5512</v>
      </c>
      <c r="AI303" s="143">
        <f t="shared" si="14"/>
        <v>2666</v>
      </c>
    </row>
    <row r="304" spans="1:35" x14ac:dyDescent="0.25">
      <c r="A304" s="48">
        <v>1</v>
      </c>
      <c r="B304" s="166" t="s">
        <v>839</v>
      </c>
      <c r="C304" s="166" t="s">
        <v>838</v>
      </c>
      <c r="D304" s="150">
        <f t="shared" ref="D304:D335" si="15">SUM(E304:AI304)</f>
        <v>3000</v>
      </c>
      <c r="E304" s="48"/>
      <c r="F304" s="48"/>
      <c r="G304" s="35"/>
      <c r="H304" s="35"/>
      <c r="I304" s="35"/>
      <c r="J304" s="35"/>
      <c r="K304" s="35"/>
      <c r="L304" s="35"/>
      <c r="M304" s="48"/>
      <c r="N304" s="48"/>
      <c r="O304" s="48"/>
      <c r="P304" s="48"/>
      <c r="Q304" s="48"/>
      <c r="R304" s="40"/>
      <c r="S304" s="40"/>
      <c r="T304" s="40"/>
      <c r="U304" s="40"/>
      <c r="V304" s="48"/>
      <c r="W304" s="48">
        <v>3000</v>
      </c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9"/>
    </row>
    <row r="305" spans="1:35" x14ac:dyDescent="0.25">
      <c r="A305" s="48">
        <v>2</v>
      </c>
      <c r="B305" s="166" t="s">
        <v>972</v>
      </c>
      <c r="C305" s="166" t="s">
        <v>971</v>
      </c>
      <c r="D305" s="150">
        <f t="shared" si="15"/>
        <v>49802</v>
      </c>
      <c r="E305" s="48"/>
      <c r="F305" s="48"/>
      <c r="G305" s="35"/>
      <c r="H305" s="35"/>
      <c r="I305" s="35">
        <v>2694</v>
      </c>
      <c r="J305" s="35">
        <v>2838</v>
      </c>
      <c r="K305" s="35">
        <v>3232</v>
      </c>
      <c r="L305" s="35"/>
      <c r="M305" s="48">
        <v>2028</v>
      </c>
      <c r="N305" s="48">
        <v>2028</v>
      </c>
      <c r="O305" s="48">
        <v>2500</v>
      </c>
      <c r="P305" s="48">
        <v>2012</v>
      </c>
      <c r="Q305" s="48"/>
      <c r="R305" s="40"/>
      <c r="S305" s="40"/>
      <c r="T305" s="40"/>
      <c r="U305" s="40"/>
      <c r="V305" s="48">
        <v>2668</v>
      </c>
      <c r="W305" s="48">
        <v>2236</v>
      </c>
      <c r="X305" s="48">
        <v>2028</v>
      </c>
      <c r="Y305" s="48">
        <v>2668</v>
      </c>
      <c r="Z305" s="48"/>
      <c r="AA305" s="48">
        <v>2992</v>
      </c>
      <c r="AB305" s="48">
        <v>1040</v>
      </c>
      <c r="AC305" s="48">
        <v>3016</v>
      </c>
      <c r="AD305" s="48">
        <v>2470</v>
      </c>
      <c r="AE305" s="48">
        <v>1938</v>
      </c>
      <c r="AF305" s="48"/>
      <c r="AG305" s="48">
        <v>3276</v>
      </c>
      <c r="AH305" s="48">
        <v>5512</v>
      </c>
      <c r="AI305" s="49">
        <v>2626</v>
      </c>
    </row>
    <row r="306" spans="1:35" x14ac:dyDescent="0.25">
      <c r="A306" s="48">
        <v>3</v>
      </c>
      <c r="B306" s="175" t="s">
        <v>847</v>
      </c>
      <c r="C306" s="175" t="s">
        <v>846</v>
      </c>
      <c r="D306" s="150">
        <f t="shared" si="15"/>
        <v>2372</v>
      </c>
      <c r="E306" s="48"/>
      <c r="F306" s="48"/>
      <c r="G306" s="35">
        <v>2192</v>
      </c>
      <c r="H306" s="35"/>
      <c r="I306" s="35"/>
      <c r="J306" s="35"/>
      <c r="K306" s="35"/>
      <c r="L306" s="35"/>
      <c r="M306" s="48"/>
      <c r="N306" s="48"/>
      <c r="O306" s="48"/>
      <c r="P306" s="48"/>
      <c r="Q306" s="48"/>
      <c r="R306" s="40"/>
      <c r="S306" s="40"/>
      <c r="T306" s="40"/>
      <c r="U306" s="40"/>
      <c r="V306" s="48"/>
      <c r="W306" s="48"/>
      <c r="X306" s="48"/>
      <c r="Y306" s="48"/>
      <c r="Z306" s="48"/>
      <c r="AA306" s="48"/>
      <c r="AB306" s="48"/>
      <c r="AC306" s="48"/>
      <c r="AD306" s="48"/>
      <c r="AE306" s="48">
        <v>180</v>
      </c>
      <c r="AF306" s="48"/>
      <c r="AG306" s="48"/>
      <c r="AH306" s="48"/>
      <c r="AI306" s="49"/>
    </row>
    <row r="307" spans="1:35" x14ac:dyDescent="0.25">
      <c r="A307" s="48">
        <v>4</v>
      </c>
      <c r="B307" s="166" t="s">
        <v>232</v>
      </c>
      <c r="C307" s="166" t="s">
        <v>231</v>
      </c>
      <c r="D307" s="150">
        <f t="shared" si="15"/>
        <v>7000</v>
      </c>
      <c r="E307" s="48"/>
      <c r="F307" s="48"/>
      <c r="G307" s="35"/>
      <c r="H307" s="35"/>
      <c r="I307" s="35"/>
      <c r="J307" s="35"/>
      <c r="K307" s="35"/>
      <c r="L307" s="35">
        <v>3000</v>
      </c>
      <c r="M307" s="48"/>
      <c r="N307" s="48"/>
      <c r="O307" s="48"/>
      <c r="P307" s="48"/>
      <c r="Q307" s="48"/>
      <c r="R307" s="40"/>
      <c r="S307" s="40"/>
      <c r="T307" s="40"/>
      <c r="U307" s="40"/>
      <c r="V307" s="48"/>
      <c r="W307" s="48">
        <v>4000</v>
      </c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9"/>
    </row>
    <row r="308" spans="1:35" x14ac:dyDescent="0.25">
      <c r="A308" s="48">
        <v>5</v>
      </c>
      <c r="B308" s="175" t="s">
        <v>867</v>
      </c>
      <c r="C308" s="175" t="s">
        <v>866</v>
      </c>
      <c r="D308" s="150">
        <f t="shared" si="15"/>
        <v>14510</v>
      </c>
      <c r="E308" s="48"/>
      <c r="F308" s="48"/>
      <c r="G308" s="35">
        <v>11160</v>
      </c>
      <c r="H308" s="35">
        <v>2720</v>
      </c>
      <c r="I308" s="35"/>
      <c r="J308" s="35"/>
      <c r="K308" s="35"/>
      <c r="L308" s="35"/>
      <c r="M308" s="48"/>
      <c r="N308" s="48"/>
      <c r="O308" s="48"/>
      <c r="P308" s="48"/>
      <c r="Q308" s="48"/>
      <c r="R308" s="40"/>
      <c r="S308" s="40"/>
      <c r="T308" s="40"/>
      <c r="U308" s="40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>
        <v>630</v>
      </c>
      <c r="AH308" s="48"/>
      <c r="AI308" s="49"/>
    </row>
    <row r="309" spans="1:35" x14ac:dyDescent="0.25">
      <c r="A309" s="48">
        <v>6</v>
      </c>
      <c r="B309" s="176" t="s">
        <v>996</v>
      </c>
      <c r="C309" s="176" t="s">
        <v>995</v>
      </c>
      <c r="D309" s="150">
        <f t="shared" si="15"/>
        <v>56</v>
      </c>
      <c r="E309" s="48"/>
      <c r="F309" s="48"/>
      <c r="G309" s="35"/>
      <c r="H309" s="35"/>
      <c r="I309" s="35"/>
      <c r="J309" s="35"/>
      <c r="K309" s="35"/>
      <c r="L309" s="35">
        <v>56</v>
      </c>
      <c r="M309" s="48"/>
      <c r="N309" s="48"/>
      <c r="O309" s="48"/>
      <c r="P309" s="48"/>
      <c r="Q309" s="48"/>
      <c r="R309" s="40"/>
      <c r="S309" s="40"/>
      <c r="T309" s="40"/>
      <c r="U309" s="40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9"/>
    </row>
    <row r="310" spans="1:35" x14ac:dyDescent="0.25">
      <c r="A310" s="48">
        <v>7</v>
      </c>
      <c r="B310" s="176" t="s">
        <v>998</v>
      </c>
      <c r="C310" s="176" t="s">
        <v>997</v>
      </c>
      <c r="D310" s="150">
        <f t="shared" si="15"/>
        <v>3900</v>
      </c>
      <c r="E310" s="48"/>
      <c r="F310" s="48"/>
      <c r="G310" s="35"/>
      <c r="H310" s="35"/>
      <c r="I310" s="35"/>
      <c r="J310" s="35"/>
      <c r="K310" s="35"/>
      <c r="L310" s="35">
        <v>1300</v>
      </c>
      <c r="M310" s="48"/>
      <c r="N310" s="48">
        <v>2600</v>
      </c>
      <c r="O310" s="48"/>
      <c r="P310" s="48"/>
      <c r="Q310" s="48"/>
      <c r="R310" s="40"/>
      <c r="S310" s="40"/>
      <c r="T310" s="40"/>
      <c r="U310" s="40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9"/>
    </row>
    <row r="311" spans="1:35" x14ac:dyDescent="0.25">
      <c r="A311" s="48">
        <v>8</v>
      </c>
      <c r="B311" s="166" t="s">
        <v>414</v>
      </c>
      <c r="C311" s="166" t="s">
        <v>413</v>
      </c>
      <c r="D311" s="150">
        <f t="shared" si="15"/>
        <v>2016</v>
      </c>
      <c r="E311" s="48"/>
      <c r="F311" s="48"/>
      <c r="G311" s="35"/>
      <c r="H311" s="35"/>
      <c r="I311" s="35"/>
      <c r="J311" s="35"/>
      <c r="K311" s="35"/>
      <c r="L311" s="35"/>
      <c r="M311" s="48"/>
      <c r="N311" s="48">
        <v>1512</v>
      </c>
      <c r="O311" s="48">
        <v>504</v>
      </c>
      <c r="P311" s="48"/>
      <c r="Q311" s="48"/>
      <c r="R311" s="40"/>
      <c r="S311" s="40"/>
      <c r="T311" s="40"/>
      <c r="U311" s="40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9"/>
    </row>
    <row r="312" spans="1:35" x14ac:dyDescent="0.25">
      <c r="A312" s="48">
        <v>9</v>
      </c>
      <c r="B312" s="176" t="s">
        <v>1062</v>
      </c>
      <c r="C312" s="176" t="s">
        <v>1061</v>
      </c>
      <c r="D312" s="150">
        <f t="shared" si="15"/>
        <v>4000</v>
      </c>
      <c r="E312" s="48"/>
      <c r="F312" s="48"/>
      <c r="G312" s="35"/>
      <c r="H312" s="35"/>
      <c r="I312" s="35"/>
      <c r="J312" s="35"/>
      <c r="K312" s="35"/>
      <c r="L312" s="35"/>
      <c r="M312" s="48"/>
      <c r="N312" s="48"/>
      <c r="O312" s="48"/>
      <c r="P312" s="48"/>
      <c r="Q312" s="48"/>
      <c r="R312" s="40"/>
      <c r="S312" s="40"/>
      <c r="T312" s="40"/>
      <c r="U312" s="40">
        <v>4000</v>
      </c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9"/>
    </row>
    <row r="313" spans="1:35" x14ac:dyDescent="0.25">
      <c r="A313" s="48">
        <v>10</v>
      </c>
      <c r="B313" s="166" t="s">
        <v>447</v>
      </c>
      <c r="C313" s="166" t="s">
        <v>446</v>
      </c>
      <c r="D313" s="150">
        <f t="shared" si="15"/>
        <v>10902</v>
      </c>
      <c r="E313" s="48"/>
      <c r="F313" s="48"/>
      <c r="G313" s="35"/>
      <c r="H313" s="35"/>
      <c r="I313" s="35"/>
      <c r="J313" s="35"/>
      <c r="K313" s="35"/>
      <c r="L313" s="35"/>
      <c r="M313" s="48"/>
      <c r="N313" s="48">
        <v>10474</v>
      </c>
      <c r="O313" s="48">
        <v>428</v>
      </c>
      <c r="P313" s="48"/>
      <c r="Q313" s="48"/>
      <c r="R313" s="40"/>
      <c r="S313" s="40"/>
      <c r="T313" s="40"/>
      <c r="U313" s="40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9"/>
    </row>
    <row r="314" spans="1:35" x14ac:dyDescent="0.25">
      <c r="A314" s="48">
        <v>11</v>
      </c>
      <c r="B314" s="175" t="s">
        <v>871</v>
      </c>
      <c r="C314" s="175" t="s">
        <v>870</v>
      </c>
      <c r="D314" s="150">
        <f t="shared" si="15"/>
        <v>17</v>
      </c>
      <c r="E314" s="48"/>
      <c r="F314" s="48"/>
      <c r="G314" s="35"/>
      <c r="H314" s="35"/>
      <c r="I314" s="35"/>
      <c r="J314" s="35"/>
      <c r="K314" s="35"/>
      <c r="L314" s="35"/>
      <c r="M314" s="48"/>
      <c r="N314" s="48"/>
      <c r="O314" s="48"/>
      <c r="P314" s="48"/>
      <c r="Q314" s="48"/>
      <c r="R314" s="40"/>
      <c r="S314" s="40"/>
      <c r="T314" s="40"/>
      <c r="U314" s="40"/>
      <c r="V314" s="48"/>
      <c r="W314" s="48"/>
      <c r="X314" s="48"/>
      <c r="Y314" s="48"/>
      <c r="Z314" s="48"/>
      <c r="AA314" s="48"/>
      <c r="AB314" s="48"/>
      <c r="AC314" s="48"/>
      <c r="AD314" s="48"/>
      <c r="AE314" s="48">
        <v>17</v>
      </c>
      <c r="AF314" s="48"/>
      <c r="AG314" s="48"/>
      <c r="AH314" s="48"/>
      <c r="AI314" s="49"/>
    </row>
    <row r="315" spans="1:35" x14ac:dyDescent="0.25">
      <c r="A315" s="48">
        <v>12</v>
      </c>
      <c r="B315" s="176" t="s">
        <v>1056</v>
      </c>
      <c r="C315" s="176" t="s">
        <v>1055</v>
      </c>
      <c r="D315" s="150">
        <f t="shared" si="15"/>
        <v>2000</v>
      </c>
      <c r="E315" s="48"/>
      <c r="F315" s="48"/>
      <c r="G315" s="35"/>
      <c r="H315" s="35"/>
      <c r="I315" s="35"/>
      <c r="J315" s="35"/>
      <c r="K315" s="35"/>
      <c r="L315" s="35"/>
      <c r="M315" s="48"/>
      <c r="N315" s="48"/>
      <c r="O315" s="48"/>
      <c r="P315" s="48"/>
      <c r="Q315" s="48">
        <v>2000</v>
      </c>
      <c r="R315" s="40"/>
      <c r="S315" s="40"/>
      <c r="T315" s="40"/>
      <c r="U315" s="40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9"/>
    </row>
    <row r="316" spans="1:35" x14ac:dyDescent="0.25">
      <c r="A316" s="48">
        <v>13</v>
      </c>
      <c r="B316" s="166" t="s">
        <v>262</v>
      </c>
      <c r="C316" s="166" t="s">
        <v>261</v>
      </c>
      <c r="D316" s="150">
        <f t="shared" si="15"/>
        <v>244660</v>
      </c>
      <c r="E316" s="48"/>
      <c r="F316" s="48"/>
      <c r="G316" s="35"/>
      <c r="H316" s="35"/>
      <c r="I316" s="35">
        <v>29952</v>
      </c>
      <c r="J316" s="35">
        <v>36048</v>
      </c>
      <c r="K316" s="35"/>
      <c r="L316" s="35"/>
      <c r="M316" s="48">
        <v>29952</v>
      </c>
      <c r="N316" s="48">
        <v>40068</v>
      </c>
      <c r="O316" s="48">
        <v>9891</v>
      </c>
      <c r="P316" s="48"/>
      <c r="Q316" s="48"/>
      <c r="R316" s="40"/>
      <c r="S316" s="40"/>
      <c r="T316" s="40"/>
      <c r="U316" s="40">
        <v>25109</v>
      </c>
      <c r="V316" s="48">
        <v>24732</v>
      </c>
      <c r="W316" s="48"/>
      <c r="X316" s="48">
        <v>48868</v>
      </c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9">
        <v>40</v>
      </c>
    </row>
    <row r="317" spans="1:35" x14ac:dyDescent="0.25">
      <c r="A317" s="48">
        <v>14</v>
      </c>
      <c r="B317" s="166" t="s">
        <v>338</v>
      </c>
      <c r="C317" s="166" t="s">
        <v>337</v>
      </c>
      <c r="D317" s="150">
        <f t="shared" si="15"/>
        <v>7000</v>
      </c>
      <c r="E317" s="48"/>
      <c r="F317" s="48"/>
      <c r="G317" s="35"/>
      <c r="H317" s="35"/>
      <c r="I317" s="35"/>
      <c r="J317" s="35">
        <v>7000</v>
      </c>
      <c r="K317" s="35"/>
      <c r="L317" s="35"/>
      <c r="M317" s="48"/>
      <c r="N317" s="48"/>
      <c r="O317" s="48"/>
      <c r="P317" s="48"/>
      <c r="Q317" s="48"/>
      <c r="R317" s="40"/>
      <c r="S317" s="40"/>
      <c r="T317" s="40"/>
      <c r="U317" s="40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9"/>
    </row>
    <row r="318" spans="1:35" x14ac:dyDescent="0.25">
      <c r="A318" s="48">
        <v>15</v>
      </c>
      <c r="B318" s="176" t="s">
        <v>1152</v>
      </c>
      <c r="C318" s="176" t="s">
        <v>1151</v>
      </c>
      <c r="D318" s="150">
        <f t="shared" si="15"/>
        <v>500</v>
      </c>
      <c r="E318" s="48"/>
      <c r="F318" s="48"/>
      <c r="G318" s="35"/>
      <c r="H318" s="35"/>
      <c r="I318" s="35"/>
      <c r="J318" s="35"/>
      <c r="K318" s="35"/>
      <c r="L318" s="35"/>
      <c r="M318" s="48"/>
      <c r="N318" s="48"/>
      <c r="O318" s="48"/>
      <c r="P318" s="48"/>
      <c r="Q318" s="48"/>
      <c r="R318" s="40"/>
      <c r="S318" s="40"/>
      <c r="T318" s="40"/>
      <c r="U318" s="40"/>
      <c r="V318" s="48"/>
      <c r="W318" s="48"/>
      <c r="X318" s="48"/>
      <c r="Y318" s="48"/>
      <c r="Z318" s="48"/>
      <c r="AA318" s="48"/>
      <c r="AB318" s="48"/>
      <c r="AC318" s="48">
        <v>500</v>
      </c>
      <c r="AD318" s="48"/>
      <c r="AE318" s="48"/>
      <c r="AF318" s="48"/>
      <c r="AG318" s="48"/>
      <c r="AH318" s="48"/>
      <c r="AI318" s="49"/>
    </row>
    <row r="319" spans="1:35" x14ac:dyDescent="0.25">
      <c r="A319" s="48">
        <v>16</v>
      </c>
      <c r="B319" s="176" t="s">
        <v>1155</v>
      </c>
      <c r="C319" s="176" t="s">
        <v>1153</v>
      </c>
      <c r="D319" s="150">
        <f t="shared" si="15"/>
        <v>500</v>
      </c>
      <c r="E319" s="48"/>
      <c r="F319" s="48"/>
      <c r="G319" s="35"/>
      <c r="H319" s="35"/>
      <c r="I319" s="35"/>
      <c r="J319" s="35"/>
      <c r="K319" s="35"/>
      <c r="L319" s="35"/>
      <c r="M319" s="48"/>
      <c r="N319" s="48"/>
      <c r="O319" s="48"/>
      <c r="P319" s="48"/>
      <c r="Q319" s="48"/>
      <c r="R319" s="40"/>
      <c r="S319" s="40"/>
      <c r="T319" s="40"/>
      <c r="U319" s="40"/>
      <c r="V319" s="48"/>
      <c r="W319" s="48"/>
      <c r="X319" s="48"/>
      <c r="Y319" s="48"/>
      <c r="Z319" s="48"/>
      <c r="AA319" s="48"/>
      <c r="AB319" s="48"/>
      <c r="AC319" s="48">
        <v>500</v>
      </c>
      <c r="AD319" s="48"/>
      <c r="AE319" s="48"/>
      <c r="AF319" s="48"/>
      <c r="AG319" s="48"/>
      <c r="AH319" s="48"/>
      <c r="AI319" s="49"/>
    </row>
    <row r="320" spans="1:35" x14ac:dyDescent="0.25">
      <c r="A320" s="48">
        <v>17</v>
      </c>
      <c r="B320" s="176" t="s">
        <v>1183</v>
      </c>
      <c r="C320" s="176" t="s">
        <v>1181</v>
      </c>
      <c r="D320" s="150">
        <f t="shared" si="15"/>
        <v>4900</v>
      </c>
      <c r="E320" s="48"/>
      <c r="F320" s="48"/>
      <c r="G320" s="35"/>
      <c r="H320" s="35"/>
      <c r="I320" s="35"/>
      <c r="J320" s="35"/>
      <c r="K320" s="35"/>
      <c r="L320" s="35"/>
      <c r="M320" s="48"/>
      <c r="N320" s="48"/>
      <c r="O320" s="48"/>
      <c r="P320" s="48"/>
      <c r="Q320" s="48"/>
      <c r="R320" s="40"/>
      <c r="S320" s="40"/>
      <c r="T320" s="40"/>
      <c r="U320" s="40"/>
      <c r="V320" s="48"/>
      <c r="W320" s="48"/>
      <c r="X320" s="48"/>
      <c r="Y320" s="48"/>
      <c r="Z320" s="48"/>
      <c r="AA320" s="48"/>
      <c r="AB320" s="48"/>
      <c r="AC320" s="48"/>
      <c r="AD320" s="48">
        <v>500</v>
      </c>
      <c r="AE320" s="48"/>
      <c r="AF320" s="48">
        <v>4400</v>
      </c>
      <c r="AG320" s="48"/>
      <c r="AH320" s="48"/>
      <c r="AI320" s="49"/>
    </row>
    <row r="321" spans="1:35" x14ac:dyDescent="0.25">
      <c r="A321" s="48">
        <v>18</v>
      </c>
      <c r="B321" s="176" t="s">
        <v>1184</v>
      </c>
      <c r="C321" s="176" t="s">
        <v>1182</v>
      </c>
      <c r="D321" s="150">
        <f t="shared" si="15"/>
        <v>4900</v>
      </c>
      <c r="E321" s="48"/>
      <c r="F321" s="48"/>
      <c r="G321" s="35"/>
      <c r="H321" s="35"/>
      <c r="I321" s="35"/>
      <c r="J321" s="35"/>
      <c r="K321" s="35"/>
      <c r="L321" s="35"/>
      <c r="M321" s="48"/>
      <c r="N321" s="48"/>
      <c r="O321" s="48"/>
      <c r="P321" s="48"/>
      <c r="Q321" s="48"/>
      <c r="R321" s="40"/>
      <c r="S321" s="40"/>
      <c r="T321" s="40"/>
      <c r="U321" s="40"/>
      <c r="V321" s="48"/>
      <c r="W321" s="48"/>
      <c r="X321" s="48"/>
      <c r="Y321" s="48"/>
      <c r="Z321" s="48"/>
      <c r="AA321" s="48"/>
      <c r="AB321" s="48"/>
      <c r="AC321" s="48"/>
      <c r="AD321" s="48">
        <v>500</v>
      </c>
      <c r="AE321" s="48"/>
      <c r="AF321" s="48">
        <v>4400</v>
      </c>
      <c r="AG321" s="48"/>
      <c r="AH321" s="48"/>
      <c r="AI321" s="49"/>
    </row>
    <row r="322" spans="1:35" x14ac:dyDescent="0.25">
      <c r="A322" s="48">
        <v>19</v>
      </c>
      <c r="B322" s="176" t="s">
        <v>1156</v>
      </c>
      <c r="C322" s="176" t="s">
        <v>1154</v>
      </c>
      <c r="D322" s="150">
        <f t="shared" si="15"/>
        <v>500</v>
      </c>
      <c r="E322" s="48"/>
      <c r="F322" s="48"/>
      <c r="G322" s="35"/>
      <c r="H322" s="35"/>
      <c r="I322" s="35"/>
      <c r="J322" s="35"/>
      <c r="K322" s="35"/>
      <c r="L322" s="35"/>
      <c r="M322" s="48"/>
      <c r="N322" s="48"/>
      <c r="O322" s="48"/>
      <c r="P322" s="48"/>
      <c r="Q322" s="48"/>
      <c r="R322" s="40"/>
      <c r="S322" s="40"/>
      <c r="T322" s="40"/>
      <c r="U322" s="40"/>
      <c r="V322" s="48"/>
      <c r="W322" s="48"/>
      <c r="X322" s="48"/>
      <c r="Y322" s="48"/>
      <c r="Z322" s="48"/>
      <c r="AA322" s="48"/>
      <c r="AB322" s="48"/>
      <c r="AC322" s="48">
        <v>500</v>
      </c>
      <c r="AD322" s="48"/>
      <c r="AE322" s="48"/>
      <c r="AF322" s="48"/>
      <c r="AG322" s="48"/>
      <c r="AH322" s="48"/>
      <c r="AI322" s="49"/>
    </row>
    <row r="323" spans="1:35" x14ac:dyDescent="0.25">
      <c r="A323" s="48">
        <v>20</v>
      </c>
      <c r="B323" s="166" t="s">
        <v>728</v>
      </c>
      <c r="C323" s="166" t="s">
        <v>727</v>
      </c>
      <c r="D323" s="150">
        <f t="shared" si="15"/>
        <v>0</v>
      </c>
      <c r="E323" s="48"/>
      <c r="F323" s="48"/>
      <c r="G323" s="35"/>
      <c r="H323" s="35"/>
      <c r="I323" s="35"/>
      <c r="J323" s="35"/>
      <c r="K323" s="35"/>
      <c r="L323" s="35"/>
      <c r="M323" s="48"/>
      <c r="N323" s="48"/>
      <c r="O323" s="48"/>
      <c r="P323" s="48"/>
      <c r="Q323" s="48"/>
      <c r="R323" s="40"/>
      <c r="S323" s="40"/>
      <c r="T323" s="40"/>
      <c r="U323" s="40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9"/>
    </row>
    <row r="324" spans="1:35" x14ac:dyDescent="0.25">
      <c r="A324" s="48">
        <v>21</v>
      </c>
      <c r="B324" s="166" t="s">
        <v>732</v>
      </c>
      <c r="C324" s="166" t="s">
        <v>729</v>
      </c>
      <c r="D324" s="150">
        <f t="shared" si="15"/>
        <v>0</v>
      </c>
      <c r="E324" s="48"/>
      <c r="F324" s="48"/>
      <c r="G324" s="35"/>
      <c r="H324" s="35"/>
      <c r="I324" s="35"/>
      <c r="J324" s="35"/>
      <c r="K324" s="35"/>
      <c r="L324" s="35"/>
      <c r="M324" s="48"/>
      <c r="N324" s="48"/>
      <c r="O324" s="48"/>
      <c r="P324" s="48"/>
      <c r="Q324" s="48"/>
      <c r="R324" s="40"/>
      <c r="S324" s="40"/>
      <c r="T324" s="40"/>
      <c r="U324" s="40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9"/>
    </row>
    <row r="325" spans="1:35" x14ac:dyDescent="0.25">
      <c r="A325" s="48">
        <v>22</v>
      </c>
      <c r="B325" s="166" t="s">
        <v>733</v>
      </c>
      <c r="C325" s="166" t="s">
        <v>730</v>
      </c>
      <c r="D325" s="150">
        <f t="shared" si="15"/>
        <v>0</v>
      </c>
      <c r="E325" s="48"/>
      <c r="F325" s="48"/>
      <c r="G325" s="35"/>
      <c r="H325" s="35"/>
      <c r="I325" s="35"/>
      <c r="J325" s="35"/>
      <c r="K325" s="35"/>
      <c r="L325" s="35"/>
      <c r="M325" s="48"/>
      <c r="N325" s="48"/>
      <c r="O325" s="48"/>
      <c r="P325" s="48"/>
      <c r="Q325" s="48"/>
      <c r="R325" s="40"/>
      <c r="S325" s="40"/>
      <c r="T325" s="40"/>
      <c r="U325" s="40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9"/>
    </row>
    <row r="326" spans="1:35" x14ac:dyDescent="0.25">
      <c r="A326" s="48">
        <v>23</v>
      </c>
      <c r="B326" s="166" t="s">
        <v>734</v>
      </c>
      <c r="C326" s="166" t="s">
        <v>731</v>
      </c>
      <c r="D326" s="150">
        <f t="shared" si="15"/>
        <v>2000</v>
      </c>
      <c r="E326" s="48"/>
      <c r="F326" s="48"/>
      <c r="G326" s="35"/>
      <c r="H326" s="35"/>
      <c r="I326" s="35"/>
      <c r="J326" s="35"/>
      <c r="K326" s="35"/>
      <c r="L326" s="35">
        <v>2000</v>
      </c>
      <c r="M326" s="48"/>
      <c r="N326" s="48"/>
      <c r="O326" s="48"/>
      <c r="P326" s="48"/>
      <c r="Q326" s="48"/>
      <c r="R326" s="40"/>
      <c r="S326" s="40"/>
      <c r="T326" s="40"/>
      <c r="U326" s="40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9"/>
    </row>
    <row r="327" spans="1:35" x14ac:dyDescent="0.25">
      <c r="A327" s="48">
        <v>24</v>
      </c>
      <c r="B327" s="176" t="s">
        <v>978</v>
      </c>
      <c r="C327" s="176" t="s">
        <v>977</v>
      </c>
      <c r="D327" s="150">
        <f t="shared" si="15"/>
        <v>1320</v>
      </c>
      <c r="E327" s="48"/>
      <c r="F327" s="48"/>
      <c r="G327" s="35"/>
      <c r="H327" s="35"/>
      <c r="I327" s="35"/>
      <c r="J327" s="35">
        <v>1320</v>
      </c>
      <c r="K327" s="35"/>
      <c r="L327" s="35"/>
      <c r="M327" s="48"/>
      <c r="N327" s="48"/>
      <c r="O327" s="48"/>
      <c r="P327" s="48"/>
      <c r="Q327" s="48"/>
      <c r="R327" s="40"/>
      <c r="S327" s="40"/>
      <c r="T327" s="40"/>
      <c r="U327" s="40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9"/>
    </row>
    <row r="328" spans="1:35" x14ac:dyDescent="0.25">
      <c r="A328" s="48">
        <v>25</v>
      </c>
      <c r="B328" s="176" t="s">
        <v>982</v>
      </c>
      <c r="C328" s="176" t="s">
        <v>979</v>
      </c>
      <c r="D328" s="150">
        <f t="shared" si="15"/>
        <v>0</v>
      </c>
      <c r="E328" s="48"/>
      <c r="F328" s="48"/>
      <c r="G328" s="35"/>
      <c r="H328" s="35"/>
      <c r="I328" s="35"/>
      <c r="J328" s="35"/>
      <c r="K328" s="35"/>
      <c r="L328" s="35"/>
      <c r="M328" s="48"/>
      <c r="N328" s="48"/>
      <c r="O328" s="48"/>
      <c r="P328" s="48"/>
      <c r="Q328" s="48"/>
      <c r="R328" s="40"/>
      <c r="S328" s="40"/>
      <c r="T328" s="40"/>
      <c r="U328" s="40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9"/>
    </row>
    <row r="329" spans="1:35" x14ac:dyDescent="0.25">
      <c r="A329" s="48">
        <v>26</v>
      </c>
      <c r="B329" s="176" t="s">
        <v>983</v>
      </c>
      <c r="C329" s="176" t="s">
        <v>980</v>
      </c>
      <c r="D329" s="150">
        <f t="shared" si="15"/>
        <v>0</v>
      </c>
      <c r="E329" s="48"/>
      <c r="F329" s="48"/>
      <c r="G329" s="35"/>
      <c r="H329" s="35"/>
      <c r="I329" s="35"/>
      <c r="J329" s="35"/>
      <c r="K329" s="35"/>
      <c r="L329" s="35"/>
      <c r="M329" s="48"/>
      <c r="N329" s="48"/>
      <c r="O329" s="48"/>
      <c r="P329" s="48"/>
      <c r="Q329" s="48"/>
      <c r="R329" s="40"/>
      <c r="S329" s="40"/>
      <c r="T329" s="40"/>
      <c r="U329" s="40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9"/>
    </row>
    <row r="330" spans="1:35" x14ac:dyDescent="0.25">
      <c r="A330" s="48">
        <v>27</v>
      </c>
      <c r="B330" s="176" t="s">
        <v>1229</v>
      </c>
      <c r="C330" s="176" t="s">
        <v>1228</v>
      </c>
      <c r="D330" s="150">
        <f t="shared" si="15"/>
        <v>0</v>
      </c>
      <c r="E330" s="48"/>
      <c r="F330" s="48"/>
      <c r="G330" s="35"/>
      <c r="H330" s="35"/>
      <c r="I330" s="35"/>
      <c r="J330" s="35"/>
      <c r="K330" s="35"/>
      <c r="L330" s="35"/>
      <c r="M330" s="48"/>
      <c r="N330" s="48"/>
      <c r="O330" s="48"/>
      <c r="P330" s="48"/>
      <c r="Q330" s="48"/>
      <c r="R330" s="40"/>
      <c r="S330" s="40"/>
      <c r="T330" s="40"/>
      <c r="U330" s="40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9"/>
    </row>
    <row r="331" spans="1:35" x14ac:dyDescent="0.25">
      <c r="A331" s="48">
        <v>28</v>
      </c>
      <c r="B331" s="176" t="s">
        <v>984</v>
      </c>
      <c r="C331" s="176" t="s">
        <v>981</v>
      </c>
      <c r="D331" s="150">
        <f t="shared" si="15"/>
        <v>0</v>
      </c>
      <c r="E331" s="48"/>
      <c r="F331" s="48"/>
      <c r="G331" s="35"/>
      <c r="H331" s="35"/>
      <c r="I331" s="35"/>
      <c r="J331" s="35"/>
      <c r="K331" s="35"/>
      <c r="L331" s="35"/>
      <c r="M331" s="48"/>
      <c r="N331" s="48"/>
      <c r="O331" s="48"/>
      <c r="P331" s="48"/>
      <c r="Q331" s="48"/>
      <c r="R331" s="40"/>
      <c r="S331" s="40"/>
      <c r="T331" s="40"/>
      <c r="U331" s="40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9"/>
    </row>
    <row r="332" spans="1:35" x14ac:dyDescent="0.25">
      <c r="A332" s="48">
        <v>29</v>
      </c>
      <c r="B332" s="166" t="s">
        <v>326</v>
      </c>
      <c r="C332" s="166" t="s">
        <v>325</v>
      </c>
      <c r="D332" s="150">
        <f t="shared" si="15"/>
        <v>843</v>
      </c>
      <c r="E332" s="48"/>
      <c r="F332" s="48"/>
      <c r="G332" s="35"/>
      <c r="H332" s="35"/>
      <c r="I332" s="35"/>
      <c r="J332" s="35">
        <v>843</v>
      </c>
      <c r="K332" s="35"/>
      <c r="L332" s="35"/>
      <c r="M332" s="48"/>
      <c r="N332" s="48"/>
      <c r="O332" s="48"/>
      <c r="P332" s="48"/>
      <c r="Q332" s="48"/>
      <c r="R332" s="40"/>
      <c r="S332" s="40"/>
      <c r="T332" s="40"/>
      <c r="U332" s="40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9"/>
    </row>
    <row r="333" spans="1:35" x14ac:dyDescent="0.25">
      <c r="A333" s="48">
        <v>30</v>
      </c>
      <c r="B333" s="176" t="s">
        <v>1090</v>
      </c>
      <c r="C333" s="176" t="s">
        <v>1089</v>
      </c>
      <c r="D333" s="150">
        <f t="shared" si="15"/>
        <v>2000</v>
      </c>
      <c r="E333" s="48"/>
      <c r="F333" s="48"/>
      <c r="G333" s="35"/>
      <c r="H333" s="35"/>
      <c r="I333" s="35"/>
      <c r="J333" s="35"/>
      <c r="K333" s="35"/>
      <c r="L333" s="35"/>
      <c r="M333" s="48"/>
      <c r="N333" s="48"/>
      <c r="O333" s="48"/>
      <c r="P333" s="48"/>
      <c r="Q333" s="48"/>
      <c r="R333" s="40"/>
      <c r="S333" s="40"/>
      <c r="T333" s="40"/>
      <c r="U333" s="40"/>
      <c r="V333" s="48"/>
      <c r="W333" s="48"/>
      <c r="X333" s="48">
        <v>2000</v>
      </c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9"/>
    </row>
    <row r="334" spans="1:35" x14ac:dyDescent="0.25">
      <c r="A334" s="48">
        <v>31</v>
      </c>
      <c r="B334" s="166" t="s">
        <v>837</v>
      </c>
      <c r="C334" s="166" t="s">
        <v>836</v>
      </c>
      <c r="D334" s="150">
        <f t="shared" si="15"/>
        <v>8764</v>
      </c>
      <c r="E334" s="48">
        <v>1264</v>
      </c>
      <c r="F334" s="48"/>
      <c r="G334" s="35"/>
      <c r="H334" s="35"/>
      <c r="I334" s="35"/>
      <c r="J334" s="35"/>
      <c r="K334" s="35"/>
      <c r="L334" s="35"/>
      <c r="M334" s="48"/>
      <c r="N334" s="48"/>
      <c r="O334" s="48"/>
      <c r="P334" s="48"/>
      <c r="Q334" s="48"/>
      <c r="R334" s="40"/>
      <c r="S334" s="40"/>
      <c r="T334" s="40"/>
      <c r="U334" s="40"/>
      <c r="V334" s="48"/>
      <c r="W334" s="48"/>
      <c r="X334" s="48"/>
      <c r="Y334" s="48">
        <v>7500</v>
      </c>
      <c r="Z334" s="48"/>
      <c r="AA334" s="48"/>
      <c r="AB334" s="48"/>
      <c r="AC334" s="48"/>
      <c r="AD334" s="48"/>
      <c r="AE334" s="48"/>
      <c r="AF334" s="48"/>
      <c r="AG334" s="48"/>
      <c r="AH334" s="48"/>
      <c r="AI334" s="49"/>
    </row>
    <row r="335" spans="1:35" x14ac:dyDescent="0.25">
      <c r="A335" s="48">
        <v>32</v>
      </c>
      <c r="B335" s="166" t="s">
        <v>664</v>
      </c>
      <c r="C335" s="166" t="s">
        <v>665</v>
      </c>
      <c r="D335" s="150">
        <f t="shared" si="15"/>
        <v>0</v>
      </c>
      <c r="E335" s="48"/>
      <c r="F335" s="48"/>
      <c r="G335" s="35"/>
      <c r="H335" s="35"/>
      <c r="I335" s="35"/>
      <c r="J335" s="35"/>
      <c r="K335" s="35"/>
      <c r="L335" s="35"/>
      <c r="M335" s="48"/>
      <c r="N335" s="48"/>
      <c r="O335" s="48"/>
      <c r="P335" s="48"/>
      <c r="Q335" s="48"/>
      <c r="R335" s="40"/>
      <c r="S335" s="40"/>
      <c r="T335" s="40"/>
      <c r="U335" s="40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9"/>
    </row>
    <row r="336" spans="1:35" x14ac:dyDescent="0.25">
      <c r="A336" s="141" t="s">
        <v>140</v>
      </c>
      <c r="B336" s="33" t="s">
        <v>126</v>
      </c>
      <c r="C336" s="141" t="s">
        <v>141</v>
      </c>
      <c r="D336" s="145">
        <f t="shared" ref="D336:AI336" si="16">SUM(D337:D494)</f>
        <v>4474586</v>
      </c>
      <c r="E336" s="145">
        <f t="shared" si="16"/>
        <v>1632</v>
      </c>
      <c r="F336" s="145">
        <f t="shared" si="16"/>
        <v>0</v>
      </c>
      <c r="G336" s="145">
        <f t="shared" si="16"/>
        <v>108640</v>
      </c>
      <c r="H336" s="145">
        <f t="shared" si="16"/>
        <v>137010</v>
      </c>
      <c r="I336" s="145">
        <f t="shared" si="16"/>
        <v>187312</v>
      </c>
      <c r="J336" s="145">
        <f t="shared" si="16"/>
        <v>316717</v>
      </c>
      <c r="K336" s="145">
        <f t="shared" si="16"/>
        <v>209086</v>
      </c>
      <c r="L336" s="145">
        <f t="shared" si="16"/>
        <v>189796</v>
      </c>
      <c r="M336" s="145">
        <f t="shared" si="16"/>
        <v>308684</v>
      </c>
      <c r="N336" s="145">
        <f t="shared" si="16"/>
        <v>256816</v>
      </c>
      <c r="O336" s="145">
        <f t="shared" si="16"/>
        <v>265915</v>
      </c>
      <c r="P336" s="145">
        <f t="shared" si="16"/>
        <v>223383</v>
      </c>
      <c r="Q336" s="145">
        <f t="shared" si="16"/>
        <v>125372</v>
      </c>
      <c r="R336" s="145">
        <f t="shared" si="16"/>
        <v>0</v>
      </c>
      <c r="S336" s="145">
        <f t="shared" si="16"/>
        <v>0</v>
      </c>
      <c r="T336" s="145">
        <f t="shared" si="16"/>
        <v>0</v>
      </c>
      <c r="U336" s="145">
        <f t="shared" si="16"/>
        <v>251274</v>
      </c>
      <c r="V336" s="145">
        <f t="shared" si="16"/>
        <v>122542</v>
      </c>
      <c r="W336" s="145">
        <f t="shared" si="16"/>
        <v>130721</v>
      </c>
      <c r="X336" s="145">
        <f t="shared" si="16"/>
        <v>124450</v>
      </c>
      <c r="Y336" s="145">
        <f t="shared" si="16"/>
        <v>175734</v>
      </c>
      <c r="Z336" s="145">
        <f t="shared" si="16"/>
        <v>166354</v>
      </c>
      <c r="AA336" s="145">
        <f t="shared" si="16"/>
        <v>76024</v>
      </c>
      <c r="AB336" s="145">
        <f t="shared" si="16"/>
        <v>176153</v>
      </c>
      <c r="AC336" s="145">
        <f t="shared" si="16"/>
        <v>216070</v>
      </c>
      <c r="AD336" s="145">
        <f t="shared" si="16"/>
        <v>177083</v>
      </c>
      <c r="AE336" s="145">
        <f t="shared" si="16"/>
        <v>185081</v>
      </c>
      <c r="AF336" s="145">
        <f t="shared" si="16"/>
        <v>167430</v>
      </c>
      <c r="AG336" s="145">
        <f t="shared" si="16"/>
        <v>78609</v>
      </c>
      <c r="AH336" s="145">
        <f t="shared" si="16"/>
        <v>45498</v>
      </c>
      <c r="AI336" s="145">
        <f t="shared" si="16"/>
        <v>51200</v>
      </c>
    </row>
    <row r="337" spans="1:35" x14ac:dyDescent="0.25">
      <c r="A337" s="48">
        <v>1</v>
      </c>
      <c r="B337" s="166" t="s">
        <v>842</v>
      </c>
      <c r="C337" s="166" t="s">
        <v>840</v>
      </c>
      <c r="D337" s="150">
        <f t="shared" ref="D337:D368" si="17">SUM(E337:AI337)</f>
        <v>4700</v>
      </c>
      <c r="E337" s="48"/>
      <c r="F337" s="48"/>
      <c r="G337" s="35"/>
      <c r="H337" s="35"/>
      <c r="I337" s="35"/>
      <c r="J337" s="35"/>
      <c r="K337" s="35"/>
      <c r="L337" s="35"/>
      <c r="M337" s="48"/>
      <c r="N337" s="48"/>
      <c r="O337" s="48"/>
      <c r="P337" s="48"/>
      <c r="Q337" s="48"/>
      <c r="R337" s="40"/>
      <c r="S337" s="40"/>
      <c r="T337" s="40"/>
      <c r="U337" s="40"/>
      <c r="V337" s="48">
        <v>4700</v>
      </c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9"/>
    </row>
    <row r="338" spans="1:35" x14ac:dyDescent="0.25">
      <c r="A338" s="48">
        <v>2</v>
      </c>
      <c r="B338" s="166" t="s">
        <v>843</v>
      </c>
      <c r="C338" s="166" t="s">
        <v>841</v>
      </c>
      <c r="D338" s="150">
        <f t="shared" si="17"/>
        <v>5800</v>
      </c>
      <c r="E338" s="48"/>
      <c r="F338" s="48"/>
      <c r="G338" s="35"/>
      <c r="H338" s="35"/>
      <c r="I338" s="35"/>
      <c r="J338" s="35"/>
      <c r="K338" s="35"/>
      <c r="L338" s="35"/>
      <c r="M338" s="48"/>
      <c r="N338" s="48"/>
      <c r="O338" s="48"/>
      <c r="P338" s="48"/>
      <c r="Q338" s="48"/>
      <c r="R338" s="40"/>
      <c r="S338" s="40"/>
      <c r="T338" s="40"/>
      <c r="U338" s="40"/>
      <c r="V338" s="48"/>
      <c r="W338" s="48"/>
      <c r="X338" s="48">
        <v>5800</v>
      </c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9"/>
    </row>
    <row r="339" spans="1:35" x14ac:dyDescent="0.25">
      <c r="A339" s="48">
        <v>3</v>
      </c>
      <c r="B339" s="176" t="s">
        <v>1034</v>
      </c>
      <c r="C339" s="176" t="s">
        <v>1033</v>
      </c>
      <c r="D339" s="150">
        <f t="shared" si="17"/>
        <v>15300</v>
      </c>
      <c r="E339" s="48"/>
      <c r="F339" s="48"/>
      <c r="G339" s="35"/>
      <c r="H339" s="35"/>
      <c r="I339" s="35"/>
      <c r="J339" s="35"/>
      <c r="K339" s="35"/>
      <c r="L339" s="35"/>
      <c r="M339" s="48"/>
      <c r="N339" s="48"/>
      <c r="O339" s="48"/>
      <c r="P339" s="48"/>
      <c r="Q339" s="48"/>
      <c r="R339" s="40"/>
      <c r="S339" s="40"/>
      <c r="T339" s="40"/>
      <c r="U339" s="40"/>
      <c r="V339" s="48">
        <v>15300</v>
      </c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9"/>
    </row>
    <row r="340" spans="1:35" x14ac:dyDescent="0.25">
      <c r="A340" s="48">
        <v>4</v>
      </c>
      <c r="B340" s="176" t="s">
        <v>1038</v>
      </c>
      <c r="C340" s="176" t="s">
        <v>1035</v>
      </c>
      <c r="D340" s="150">
        <f t="shared" si="17"/>
        <v>2850</v>
      </c>
      <c r="E340" s="48"/>
      <c r="F340" s="48"/>
      <c r="G340" s="35"/>
      <c r="H340" s="35"/>
      <c r="I340" s="35"/>
      <c r="J340" s="35"/>
      <c r="K340" s="35"/>
      <c r="L340" s="35"/>
      <c r="M340" s="48"/>
      <c r="N340" s="48"/>
      <c r="O340" s="48"/>
      <c r="P340" s="48"/>
      <c r="Q340" s="48"/>
      <c r="R340" s="40"/>
      <c r="S340" s="40"/>
      <c r="T340" s="40"/>
      <c r="U340" s="40"/>
      <c r="V340" s="48"/>
      <c r="W340" s="48"/>
      <c r="X340" s="48"/>
      <c r="Y340" s="48">
        <v>2772</v>
      </c>
      <c r="Z340" s="48"/>
      <c r="AA340" s="48"/>
      <c r="AB340" s="48">
        <v>78</v>
      </c>
      <c r="AC340" s="48"/>
      <c r="AD340" s="48"/>
      <c r="AE340" s="48"/>
      <c r="AF340" s="48"/>
      <c r="AG340" s="48"/>
      <c r="AH340" s="48"/>
      <c r="AI340" s="49"/>
    </row>
    <row r="341" spans="1:35" x14ac:dyDescent="0.25">
      <c r="A341" s="48">
        <v>5</v>
      </c>
      <c r="B341" s="176" t="s">
        <v>1039</v>
      </c>
      <c r="C341" s="176" t="s">
        <v>1036</v>
      </c>
      <c r="D341" s="150">
        <f t="shared" si="17"/>
        <v>3050</v>
      </c>
      <c r="E341" s="48"/>
      <c r="F341" s="48"/>
      <c r="G341" s="35"/>
      <c r="H341" s="35"/>
      <c r="I341" s="35"/>
      <c r="J341" s="35"/>
      <c r="K341" s="35"/>
      <c r="L341" s="35"/>
      <c r="M341" s="48"/>
      <c r="N341" s="48"/>
      <c r="O341" s="48"/>
      <c r="P341" s="48"/>
      <c r="Q341" s="48"/>
      <c r="R341" s="40"/>
      <c r="S341" s="40"/>
      <c r="T341" s="40"/>
      <c r="U341" s="40"/>
      <c r="V341" s="48"/>
      <c r="W341" s="48"/>
      <c r="X341" s="48"/>
      <c r="Y341" s="48">
        <v>2908</v>
      </c>
      <c r="Z341" s="48"/>
      <c r="AA341" s="48"/>
      <c r="AB341" s="48">
        <v>142</v>
      </c>
      <c r="AC341" s="48"/>
      <c r="AD341" s="48"/>
      <c r="AE341" s="48"/>
      <c r="AF341" s="48"/>
      <c r="AG341" s="48"/>
      <c r="AH341" s="48"/>
      <c r="AI341" s="49"/>
    </row>
    <row r="342" spans="1:35" x14ac:dyDescent="0.25">
      <c r="A342" s="48">
        <v>6</v>
      </c>
      <c r="B342" s="176" t="s">
        <v>1040</v>
      </c>
      <c r="C342" s="176" t="s">
        <v>1037</v>
      </c>
      <c r="D342" s="150">
        <f t="shared" si="17"/>
        <v>6000</v>
      </c>
      <c r="E342" s="48"/>
      <c r="F342" s="48"/>
      <c r="G342" s="35"/>
      <c r="H342" s="35"/>
      <c r="I342" s="35"/>
      <c r="J342" s="35"/>
      <c r="K342" s="35"/>
      <c r="L342" s="35"/>
      <c r="M342" s="48"/>
      <c r="N342" s="48"/>
      <c r="O342" s="48"/>
      <c r="P342" s="48">
        <v>6000</v>
      </c>
      <c r="Q342" s="48"/>
      <c r="R342" s="40"/>
      <c r="S342" s="40"/>
      <c r="T342" s="40"/>
      <c r="U342" s="40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9"/>
    </row>
    <row r="343" spans="1:35" x14ac:dyDescent="0.25">
      <c r="A343" s="48">
        <v>7</v>
      </c>
      <c r="B343" s="176" t="s">
        <v>1042</v>
      </c>
      <c r="C343" s="176" t="s">
        <v>1041</v>
      </c>
      <c r="D343" s="150">
        <f t="shared" si="17"/>
        <v>1000</v>
      </c>
      <c r="E343" s="48"/>
      <c r="F343" s="48"/>
      <c r="G343" s="35"/>
      <c r="H343" s="35"/>
      <c r="I343" s="35"/>
      <c r="J343" s="35"/>
      <c r="K343" s="35"/>
      <c r="L343" s="35"/>
      <c r="M343" s="48"/>
      <c r="N343" s="48"/>
      <c r="O343" s="48"/>
      <c r="P343" s="48"/>
      <c r="Q343" s="48"/>
      <c r="R343" s="40"/>
      <c r="S343" s="40"/>
      <c r="T343" s="40"/>
      <c r="U343" s="40"/>
      <c r="V343" s="48"/>
      <c r="W343" s="48"/>
      <c r="X343" s="48"/>
      <c r="Y343" s="48">
        <v>200</v>
      </c>
      <c r="Z343" s="48">
        <v>300</v>
      </c>
      <c r="AA343" s="48"/>
      <c r="AB343" s="48"/>
      <c r="AC343" s="48"/>
      <c r="AD343" s="48"/>
      <c r="AE343" s="48">
        <v>500</v>
      </c>
      <c r="AF343" s="48"/>
      <c r="AG343" s="48"/>
      <c r="AH343" s="48"/>
      <c r="AI343" s="49"/>
    </row>
    <row r="344" spans="1:35" x14ac:dyDescent="0.25">
      <c r="A344" s="48">
        <v>8</v>
      </c>
      <c r="B344" s="166" t="s">
        <v>452</v>
      </c>
      <c r="C344" s="166" t="s">
        <v>814</v>
      </c>
      <c r="D344" s="150">
        <f t="shared" si="17"/>
        <v>60</v>
      </c>
      <c r="E344" s="48"/>
      <c r="F344" s="48"/>
      <c r="G344" s="35"/>
      <c r="H344" s="35"/>
      <c r="I344" s="35">
        <v>60</v>
      </c>
      <c r="J344" s="35"/>
      <c r="K344" s="35"/>
      <c r="L344" s="35"/>
      <c r="M344" s="48"/>
      <c r="N344" s="48"/>
      <c r="O344" s="48"/>
      <c r="P344" s="48"/>
      <c r="Q344" s="48"/>
      <c r="R344" s="40"/>
      <c r="S344" s="40"/>
      <c r="T344" s="40"/>
      <c r="U344" s="40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9"/>
    </row>
    <row r="345" spans="1:35" x14ac:dyDescent="0.25">
      <c r="A345" s="48">
        <v>9</v>
      </c>
      <c r="B345" s="166" t="s">
        <v>865</v>
      </c>
      <c r="C345" s="166" t="s">
        <v>864</v>
      </c>
      <c r="D345" s="150">
        <f t="shared" si="17"/>
        <v>9000</v>
      </c>
      <c r="E345" s="48"/>
      <c r="F345" s="48"/>
      <c r="G345" s="35"/>
      <c r="H345" s="35"/>
      <c r="I345" s="35"/>
      <c r="J345" s="35"/>
      <c r="K345" s="35"/>
      <c r="L345" s="35"/>
      <c r="M345" s="48"/>
      <c r="N345" s="48"/>
      <c r="O345" s="48"/>
      <c r="P345" s="48"/>
      <c r="Q345" s="48"/>
      <c r="R345" s="40"/>
      <c r="S345" s="40"/>
      <c r="T345" s="40"/>
      <c r="U345" s="40"/>
      <c r="V345" s="48"/>
      <c r="W345" s="48"/>
      <c r="X345" s="48"/>
      <c r="Y345" s="48"/>
      <c r="Z345" s="48"/>
      <c r="AA345" s="48">
        <v>3600</v>
      </c>
      <c r="AB345" s="48">
        <v>5400</v>
      </c>
      <c r="AC345" s="48"/>
      <c r="AD345" s="48"/>
      <c r="AE345" s="48"/>
      <c r="AF345" s="48"/>
      <c r="AG345" s="48"/>
      <c r="AH345" s="48"/>
      <c r="AI345" s="49"/>
    </row>
    <row r="346" spans="1:35" x14ac:dyDescent="0.25">
      <c r="A346" s="48">
        <v>10</v>
      </c>
      <c r="B346" s="176" t="s">
        <v>368</v>
      </c>
      <c r="C346" s="176" t="s">
        <v>874</v>
      </c>
      <c r="D346" s="150">
        <f t="shared" si="17"/>
        <v>115000</v>
      </c>
      <c r="E346" s="48"/>
      <c r="F346" s="48"/>
      <c r="G346" s="35"/>
      <c r="H346" s="35"/>
      <c r="I346" s="35">
        <v>30000</v>
      </c>
      <c r="J346" s="35">
        <v>22500</v>
      </c>
      <c r="K346" s="35"/>
      <c r="L346" s="35"/>
      <c r="M346" s="48"/>
      <c r="N346" s="48"/>
      <c r="O346" s="48"/>
      <c r="P346" s="48"/>
      <c r="Q346" s="48"/>
      <c r="R346" s="40"/>
      <c r="S346" s="40"/>
      <c r="T346" s="40"/>
      <c r="U346" s="40">
        <v>20500</v>
      </c>
      <c r="V346" s="48"/>
      <c r="W346" s="48">
        <v>6210</v>
      </c>
      <c r="X346" s="48"/>
      <c r="Y346" s="48"/>
      <c r="Z346" s="48"/>
      <c r="AA346" s="48"/>
      <c r="AB346" s="48"/>
      <c r="AC346" s="48">
        <v>18840</v>
      </c>
      <c r="AD346" s="48">
        <v>10000</v>
      </c>
      <c r="AE346" s="48">
        <v>6950</v>
      </c>
      <c r="AF346" s="48"/>
      <c r="AG346" s="48"/>
      <c r="AH346" s="48"/>
      <c r="AI346" s="49"/>
    </row>
    <row r="347" spans="1:35" x14ac:dyDescent="0.25">
      <c r="A347" s="48">
        <v>11</v>
      </c>
      <c r="B347" s="176" t="s">
        <v>876</v>
      </c>
      <c r="C347" s="176" t="s">
        <v>875</v>
      </c>
      <c r="D347" s="150">
        <f t="shared" si="17"/>
        <v>1600</v>
      </c>
      <c r="E347" s="48"/>
      <c r="F347" s="48"/>
      <c r="G347" s="35"/>
      <c r="H347" s="35"/>
      <c r="I347" s="35"/>
      <c r="J347" s="35"/>
      <c r="K347" s="35"/>
      <c r="L347" s="35"/>
      <c r="M347" s="48"/>
      <c r="N347" s="48"/>
      <c r="O347" s="48"/>
      <c r="P347" s="48"/>
      <c r="Q347" s="48"/>
      <c r="R347" s="40"/>
      <c r="S347" s="40"/>
      <c r="T347" s="40"/>
      <c r="U347" s="40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>
        <v>1600</v>
      </c>
      <c r="AH347" s="48"/>
      <c r="AI347" s="49"/>
    </row>
    <row r="348" spans="1:35" x14ac:dyDescent="0.25">
      <c r="A348" s="48">
        <v>12</v>
      </c>
      <c r="B348" s="166" t="s">
        <v>687</v>
      </c>
      <c r="C348" s="166" t="s">
        <v>686</v>
      </c>
      <c r="D348" s="150">
        <f t="shared" si="17"/>
        <v>131500</v>
      </c>
      <c r="E348" s="48"/>
      <c r="F348" s="48"/>
      <c r="G348" s="35"/>
      <c r="H348" s="35"/>
      <c r="I348" s="35"/>
      <c r="J348" s="35">
        <v>25000</v>
      </c>
      <c r="K348" s="35">
        <v>26370</v>
      </c>
      <c r="L348" s="35">
        <v>16530</v>
      </c>
      <c r="M348" s="48"/>
      <c r="N348" s="48"/>
      <c r="O348" s="48">
        <v>100</v>
      </c>
      <c r="P348" s="48">
        <v>10000</v>
      </c>
      <c r="Q348" s="48">
        <v>43450</v>
      </c>
      <c r="R348" s="40"/>
      <c r="S348" s="40"/>
      <c r="T348" s="40"/>
      <c r="U348" s="40"/>
      <c r="V348" s="48"/>
      <c r="W348" s="48">
        <v>6300</v>
      </c>
      <c r="X348" s="48"/>
      <c r="Y348" s="48">
        <v>3750</v>
      </c>
      <c r="Z348" s="48"/>
      <c r="AA348" s="48"/>
      <c r="AB348" s="48"/>
      <c r="AC348" s="48"/>
      <c r="AD348" s="48"/>
      <c r="AE348" s="48"/>
      <c r="AF348" s="48"/>
      <c r="AG348" s="48"/>
      <c r="AH348" s="48"/>
      <c r="AI348" s="49"/>
    </row>
    <row r="349" spans="1:35" x14ac:dyDescent="0.25">
      <c r="A349" s="48">
        <v>13</v>
      </c>
      <c r="B349" s="176" t="s">
        <v>974</v>
      </c>
      <c r="C349" s="176" t="s">
        <v>973</v>
      </c>
      <c r="D349" s="150">
        <f t="shared" si="17"/>
        <v>437322</v>
      </c>
      <c r="E349" s="48"/>
      <c r="F349" s="48"/>
      <c r="G349" s="35"/>
      <c r="H349" s="35">
        <v>41160</v>
      </c>
      <c r="I349" s="35">
        <v>58840</v>
      </c>
      <c r="J349" s="35">
        <v>77154</v>
      </c>
      <c r="K349" s="35">
        <v>61404</v>
      </c>
      <c r="L349" s="35"/>
      <c r="M349" s="48"/>
      <c r="N349" s="48">
        <v>69888</v>
      </c>
      <c r="O349" s="48">
        <v>46830</v>
      </c>
      <c r="P349" s="48">
        <v>31794</v>
      </c>
      <c r="Q349" s="48"/>
      <c r="R349" s="40"/>
      <c r="S349" s="40"/>
      <c r="T349" s="40"/>
      <c r="U349" s="40">
        <v>1218</v>
      </c>
      <c r="V349" s="48">
        <v>8400</v>
      </c>
      <c r="W349" s="48">
        <v>38892</v>
      </c>
      <c r="X349" s="48"/>
      <c r="Y349" s="48"/>
      <c r="Z349" s="48"/>
      <c r="AA349" s="48"/>
      <c r="AB349" s="48"/>
      <c r="AC349" s="48">
        <v>1742</v>
      </c>
      <c r="AD349" s="48"/>
      <c r="AE349" s="48"/>
      <c r="AF349" s="48"/>
      <c r="AG349" s="48"/>
      <c r="AH349" s="48"/>
      <c r="AI349" s="49"/>
    </row>
    <row r="350" spans="1:35" x14ac:dyDescent="0.25">
      <c r="A350" s="48">
        <v>14</v>
      </c>
      <c r="B350" s="176" t="s">
        <v>976</v>
      </c>
      <c r="C350" s="176" t="s">
        <v>975</v>
      </c>
      <c r="D350" s="150">
        <f t="shared" si="17"/>
        <v>7640</v>
      </c>
      <c r="E350" s="48"/>
      <c r="F350" s="48"/>
      <c r="G350" s="35"/>
      <c r="H350" s="35"/>
      <c r="I350" s="35">
        <v>6640</v>
      </c>
      <c r="J350" s="35"/>
      <c r="K350" s="35"/>
      <c r="L350" s="35"/>
      <c r="M350" s="48"/>
      <c r="N350" s="48"/>
      <c r="O350" s="48"/>
      <c r="P350" s="48"/>
      <c r="Q350" s="48"/>
      <c r="R350" s="40"/>
      <c r="S350" s="40"/>
      <c r="T350" s="40"/>
      <c r="U350" s="40"/>
      <c r="V350" s="48"/>
      <c r="W350" s="48"/>
      <c r="X350" s="48"/>
      <c r="Y350" s="48"/>
      <c r="Z350" s="48"/>
      <c r="AA350" s="48">
        <v>1000</v>
      </c>
      <c r="AB350" s="48"/>
      <c r="AC350" s="48"/>
      <c r="AD350" s="48"/>
      <c r="AE350" s="48"/>
      <c r="AF350" s="48"/>
      <c r="AG350" s="48"/>
      <c r="AH350" s="48"/>
      <c r="AI350" s="49"/>
    </row>
    <row r="351" spans="1:35" x14ac:dyDescent="0.25">
      <c r="A351" s="48">
        <v>15</v>
      </c>
      <c r="B351" s="166" t="s">
        <v>342</v>
      </c>
      <c r="C351" s="166" t="s">
        <v>423</v>
      </c>
      <c r="D351" s="150">
        <f t="shared" si="17"/>
        <v>9200</v>
      </c>
      <c r="E351" s="48"/>
      <c r="F351" s="48"/>
      <c r="G351" s="35"/>
      <c r="H351" s="35"/>
      <c r="I351" s="35"/>
      <c r="J351" s="35"/>
      <c r="K351" s="35"/>
      <c r="L351" s="35">
        <v>3888</v>
      </c>
      <c r="M351" s="48">
        <v>1296</v>
      </c>
      <c r="N351" s="48">
        <v>16</v>
      </c>
      <c r="O351" s="48"/>
      <c r="P351" s="48"/>
      <c r="Q351" s="48"/>
      <c r="R351" s="40"/>
      <c r="S351" s="40"/>
      <c r="T351" s="40"/>
      <c r="U351" s="40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>
        <v>2000</v>
      </c>
      <c r="AI351" s="49">
        <v>2000</v>
      </c>
    </row>
    <row r="352" spans="1:35" x14ac:dyDescent="0.25">
      <c r="A352" s="48">
        <v>16</v>
      </c>
      <c r="B352" s="176" t="s">
        <v>970</v>
      </c>
      <c r="C352" s="176" t="s">
        <v>969</v>
      </c>
      <c r="D352" s="150">
        <f t="shared" si="17"/>
        <v>470</v>
      </c>
      <c r="E352" s="48"/>
      <c r="F352" s="48"/>
      <c r="G352" s="35"/>
      <c r="H352" s="35">
        <v>470</v>
      </c>
      <c r="I352" s="35"/>
      <c r="J352" s="35"/>
      <c r="K352" s="35"/>
      <c r="L352" s="35"/>
      <c r="M352" s="48"/>
      <c r="N352" s="48"/>
      <c r="O352" s="48"/>
      <c r="P352" s="48"/>
      <c r="Q352" s="48"/>
      <c r="R352" s="40"/>
      <c r="S352" s="40"/>
      <c r="T352" s="40"/>
      <c r="U352" s="40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9"/>
    </row>
    <row r="353" spans="1:35" x14ac:dyDescent="0.25">
      <c r="A353" s="48">
        <v>17</v>
      </c>
      <c r="B353" s="166" t="s">
        <v>495</v>
      </c>
      <c r="C353" s="166" t="s">
        <v>494</v>
      </c>
      <c r="D353" s="150">
        <f t="shared" si="17"/>
        <v>5100</v>
      </c>
      <c r="E353" s="48"/>
      <c r="F353" s="48"/>
      <c r="G353" s="35"/>
      <c r="H353" s="35"/>
      <c r="I353" s="35"/>
      <c r="J353" s="35"/>
      <c r="K353" s="35"/>
      <c r="L353" s="35"/>
      <c r="M353" s="48"/>
      <c r="N353" s="48"/>
      <c r="O353" s="48"/>
      <c r="P353" s="48"/>
      <c r="Q353" s="48"/>
      <c r="R353" s="40"/>
      <c r="S353" s="40"/>
      <c r="T353" s="40"/>
      <c r="U353" s="40"/>
      <c r="V353" s="48"/>
      <c r="W353" s="48"/>
      <c r="X353" s="48">
        <v>5100</v>
      </c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9"/>
    </row>
    <row r="354" spans="1:35" x14ac:dyDescent="0.25">
      <c r="A354" s="48">
        <v>18</v>
      </c>
      <c r="B354" s="176" t="s">
        <v>1045</v>
      </c>
      <c r="C354" s="176" t="s">
        <v>1043</v>
      </c>
      <c r="D354" s="150">
        <f t="shared" si="17"/>
        <v>4400</v>
      </c>
      <c r="E354" s="48"/>
      <c r="F354" s="48"/>
      <c r="G354" s="35"/>
      <c r="H354" s="35"/>
      <c r="I354" s="35"/>
      <c r="J354" s="35"/>
      <c r="K354" s="35"/>
      <c r="L354" s="35"/>
      <c r="M354" s="48"/>
      <c r="N354" s="48"/>
      <c r="O354" s="48"/>
      <c r="P354" s="48">
        <v>2200</v>
      </c>
      <c r="Q354" s="48"/>
      <c r="R354" s="40"/>
      <c r="S354" s="40"/>
      <c r="T354" s="40"/>
      <c r="U354" s="40"/>
      <c r="V354" s="48"/>
      <c r="W354" s="48"/>
      <c r="X354" s="48">
        <v>2200</v>
      </c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9"/>
    </row>
    <row r="355" spans="1:35" x14ac:dyDescent="0.25">
      <c r="A355" s="48">
        <v>19</v>
      </c>
      <c r="B355" s="176" t="s">
        <v>1046</v>
      </c>
      <c r="C355" s="176" t="s">
        <v>1044</v>
      </c>
      <c r="D355" s="150">
        <f t="shared" si="17"/>
        <v>3460</v>
      </c>
      <c r="E355" s="48"/>
      <c r="F355" s="48"/>
      <c r="G355" s="35"/>
      <c r="H355" s="35"/>
      <c r="I355" s="35"/>
      <c r="J355" s="35"/>
      <c r="K355" s="35"/>
      <c r="L355" s="35"/>
      <c r="M355" s="48"/>
      <c r="N355" s="48"/>
      <c r="O355" s="48">
        <v>1500</v>
      </c>
      <c r="P355" s="48">
        <v>700</v>
      </c>
      <c r="Q355" s="48"/>
      <c r="R355" s="40"/>
      <c r="S355" s="40"/>
      <c r="T355" s="40"/>
      <c r="U355" s="40"/>
      <c r="V355" s="48"/>
      <c r="W355" s="48"/>
      <c r="X355" s="48">
        <v>800</v>
      </c>
      <c r="Y355" s="48"/>
      <c r="Z355" s="48"/>
      <c r="AA355" s="48"/>
      <c r="AB355" s="48"/>
      <c r="AC355" s="48">
        <v>460</v>
      </c>
      <c r="AD355" s="48"/>
      <c r="AE355" s="48"/>
      <c r="AF355" s="48"/>
      <c r="AG355" s="48"/>
      <c r="AH355" s="48"/>
      <c r="AI355" s="49"/>
    </row>
    <row r="356" spans="1:35" x14ac:dyDescent="0.25">
      <c r="A356" s="48">
        <v>20</v>
      </c>
      <c r="B356" s="166" t="s">
        <v>342</v>
      </c>
      <c r="C356" s="166" t="s">
        <v>496</v>
      </c>
      <c r="D356" s="150">
        <f t="shared" si="17"/>
        <v>12300</v>
      </c>
      <c r="E356" s="48"/>
      <c r="F356" s="48"/>
      <c r="G356" s="35"/>
      <c r="H356" s="35"/>
      <c r="I356" s="35"/>
      <c r="J356" s="35"/>
      <c r="K356" s="35"/>
      <c r="L356" s="35"/>
      <c r="M356" s="48"/>
      <c r="N356" s="48"/>
      <c r="O356" s="48"/>
      <c r="P356" s="48"/>
      <c r="Q356" s="48"/>
      <c r="R356" s="40"/>
      <c r="S356" s="40"/>
      <c r="T356" s="40"/>
      <c r="U356" s="40"/>
      <c r="V356" s="48"/>
      <c r="W356" s="48"/>
      <c r="X356" s="48"/>
      <c r="Y356" s="48">
        <v>2230</v>
      </c>
      <c r="Z356" s="48">
        <v>2580</v>
      </c>
      <c r="AA356" s="48"/>
      <c r="AB356" s="48">
        <v>5380</v>
      </c>
      <c r="AC356" s="48">
        <v>2110</v>
      </c>
      <c r="AD356" s="48"/>
      <c r="AE356" s="48"/>
      <c r="AF356" s="48"/>
      <c r="AG356" s="48"/>
      <c r="AH356" s="48"/>
      <c r="AI356" s="49"/>
    </row>
    <row r="357" spans="1:35" x14ac:dyDescent="0.25">
      <c r="A357" s="48">
        <v>21</v>
      </c>
      <c r="B357" s="166" t="s">
        <v>652</v>
      </c>
      <c r="C357" s="166" t="s">
        <v>651</v>
      </c>
      <c r="D357" s="150">
        <f t="shared" si="17"/>
        <v>1100</v>
      </c>
      <c r="E357" s="48"/>
      <c r="F357" s="48"/>
      <c r="G357" s="35"/>
      <c r="H357" s="35"/>
      <c r="I357" s="35"/>
      <c r="J357" s="35"/>
      <c r="K357" s="35"/>
      <c r="L357" s="35"/>
      <c r="M357" s="48"/>
      <c r="N357" s="48"/>
      <c r="O357" s="48"/>
      <c r="P357" s="48"/>
      <c r="Q357" s="48"/>
      <c r="R357" s="40"/>
      <c r="S357" s="40"/>
      <c r="T357" s="40"/>
      <c r="U357" s="40">
        <v>1100</v>
      </c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9"/>
    </row>
    <row r="358" spans="1:35" x14ac:dyDescent="0.25">
      <c r="A358" s="48">
        <v>22</v>
      </c>
      <c r="B358" s="166" t="s">
        <v>407</v>
      </c>
      <c r="C358" s="166" t="s">
        <v>408</v>
      </c>
      <c r="D358" s="150">
        <f t="shared" si="17"/>
        <v>49000</v>
      </c>
      <c r="E358" s="48"/>
      <c r="F358" s="48"/>
      <c r="G358" s="35"/>
      <c r="H358" s="35"/>
      <c r="I358" s="35"/>
      <c r="J358" s="35"/>
      <c r="K358" s="35"/>
      <c r="L358" s="35"/>
      <c r="M358" s="48"/>
      <c r="N358" s="48">
        <v>6512</v>
      </c>
      <c r="O358" s="48">
        <v>23488</v>
      </c>
      <c r="P358" s="48"/>
      <c r="Q358" s="48">
        <v>8160</v>
      </c>
      <c r="R358" s="40"/>
      <c r="S358" s="40"/>
      <c r="T358" s="40"/>
      <c r="U358" s="40">
        <v>10840</v>
      </c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9"/>
    </row>
    <row r="359" spans="1:35" x14ac:dyDescent="0.25">
      <c r="A359" s="48">
        <v>23</v>
      </c>
      <c r="B359" s="166" t="s">
        <v>541</v>
      </c>
      <c r="C359" s="166" t="s">
        <v>540</v>
      </c>
      <c r="D359" s="150">
        <f t="shared" si="17"/>
        <v>800</v>
      </c>
      <c r="E359" s="48"/>
      <c r="F359" s="48"/>
      <c r="G359" s="35"/>
      <c r="H359" s="35"/>
      <c r="I359" s="35"/>
      <c r="J359" s="35"/>
      <c r="K359" s="35"/>
      <c r="L359" s="35"/>
      <c r="M359" s="48"/>
      <c r="N359" s="48"/>
      <c r="O359" s="48"/>
      <c r="P359" s="48"/>
      <c r="Q359" s="48"/>
      <c r="R359" s="40"/>
      <c r="S359" s="40"/>
      <c r="T359" s="40"/>
      <c r="U359" s="40"/>
      <c r="V359" s="48"/>
      <c r="W359" s="48"/>
      <c r="X359" s="48"/>
      <c r="Y359" s="48"/>
      <c r="Z359" s="48"/>
      <c r="AA359" s="48"/>
      <c r="AB359" s="48"/>
      <c r="AC359" s="48">
        <v>800</v>
      </c>
      <c r="AD359" s="48"/>
      <c r="AE359" s="48"/>
      <c r="AF359" s="48"/>
      <c r="AG359" s="48"/>
      <c r="AH359" s="48"/>
      <c r="AI359" s="49"/>
    </row>
    <row r="360" spans="1:35" x14ac:dyDescent="0.25">
      <c r="A360" s="48">
        <v>24</v>
      </c>
      <c r="B360" s="166" t="s">
        <v>654</v>
      </c>
      <c r="C360" s="166" t="s">
        <v>653</v>
      </c>
      <c r="D360" s="150">
        <f t="shared" si="17"/>
        <v>190</v>
      </c>
      <c r="E360" s="48"/>
      <c r="F360" s="48"/>
      <c r="G360" s="35"/>
      <c r="H360" s="35"/>
      <c r="I360" s="35"/>
      <c r="J360" s="35"/>
      <c r="K360" s="35"/>
      <c r="L360" s="35"/>
      <c r="M360" s="48"/>
      <c r="N360" s="48"/>
      <c r="O360" s="48"/>
      <c r="P360" s="48"/>
      <c r="Q360" s="48"/>
      <c r="R360" s="40"/>
      <c r="S360" s="40"/>
      <c r="T360" s="40"/>
      <c r="U360" s="40"/>
      <c r="V360" s="48"/>
      <c r="W360" s="48"/>
      <c r="X360" s="48">
        <v>190</v>
      </c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9"/>
    </row>
    <row r="361" spans="1:35" x14ac:dyDescent="0.25">
      <c r="A361" s="48">
        <v>25</v>
      </c>
      <c r="B361" s="166" t="s">
        <v>173</v>
      </c>
      <c r="C361" s="166" t="s">
        <v>172</v>
      </c>
      <c r="D361" s="150">
        <f t="shared" si="17"/>
        <v>287084</v>
      </c>
      <c r="E361" s="48"/>
      <c r="F361" s="48"/>
      <c r="G361" s="35">
        <v>2084</v>
      </c>
      <c r="H361" s="35"/>
      <c r="I361" s="35"/>
      <c r="J361" s="35"/>
      <c r="K361" s="35"/>
      <c r="L361" s="35"/>
      <c r="M361" s="48"/>
      <c r="N361" s="48"/>
      <c r="O361" s="48">
        <v>46830</v>
      </c>
      <c r="P361" s="48">
        <v>12978</v>
      </c>
      <c r="Q361" s="48">
        <v>10000</v>
      </c>
      <c r="R361" s="40"/>
      <c r="S361" s="40"/>
      <c r="T361" s="40"/>
      <c r="U361" s="40">
        <v>192</v>
      </c>
      <c r="V361" s="48"/>
      <c r="W361" s="48"/>
      <c r="X361" s="48"/>
      <c r="Y361" s="48">
        <v>40000</v>
      </c>
      <c r="Z361" s="48">
        <v>20000</v>
      </c>
      <c r="AA361" s="48"/>
      <c r="AB361" s="48">
        <v>45200</v>
      </c>
      <c r="AC361" s="48">
        <v>9800</v>
      </c>
      <c r="AD361" s="48">
        <v>20000</v>
      </c>
      <c r="AE361" s="48">
        <v>70060</v>
      </c>
      <c r="AF361" s="48">
        <v>9940</v>
      </c>
      <c r="AG361" s="48"/>
      <c r="AH361" s="48"/>
      <c r="AI361" s="49"/>
    </row>
    <row r="362" spans="1:35" x14ac:dyDescent="0.25">
      <c r="A362" s="48">
        <v>26</v>
      </c>
      <c r="B362" s="166" t="s">
        <v>349</v>
      </c>
      <c r="C362" s="166" t="s">
        <v>348</v>
      </c>
      <c r="D362" s="150">
        <f t="shared" si="17"/>
        <v>3000</v>
      </c>
      <c r="E362" s="48"/>
      <c r="F362" s="48"/>
      <c r="G362" s="35"/>
      <c r="H362" s="35"/>
      <c r="I362" s="35"/>
      <c r="J362" s="35"/>
      <c r="K362" s="35"/>
      <c r="L362" s="35"/>
      <c r="M362" s="48"/>
      <c r="N362" s="48"/>
      <c r="O362" s="48"/>
      <c r="P362" s="48"/>
      <c r="Q362" s="48"/>
      <c r="R362" s="40"/>
      <c r="S362" s="40"/>
      <c r="T362" s="40"/>
      <c r="U362" s="40"/>
      <c r="V362" s="48">
        <v>3000</v>
      </c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9"/>
    </row>
    <row r="363" spans="1:35" x14ac:dyDescent="0.25">
      <c r="A363" s="48">
        <v>27</v>
      </c>
      <c r="B363" s="166" t="s">
        <v>207</v>
      </c>
      <c r="C363" s="166" t="s">
        <v>206</v>
      </c>
      <c r="D363" s="150">
        <f t="shared" si="17"/>
        <v>688127</v>
      </c>
      <c r="E363" s="48"/>
      <c r="F363" s="48"/>
      <c r="G363" s="35">
        <v>90476</v>
      </c>
      <c r="H363" s="35"/>
      <c r="I363" s="35">
        <v>31920</v>
      </c>
      <c r="J363" s="35">
        <v>77700</v>
      </c>
      <c r="K363" s="35">
        <v>76112</v>
      </c>
      <c r="L363" s="35">
        <v>24822</v>
      </c>
      <c r="M363" s="48">
        <v>59052</v>
      </c>
      <c r="N363" s="48">
        <v>40014</v>
      </c>
      <c r="O363" s="48">
        <v>16800</v>
      </c>
      <c r="P363" s="48">
        <v>49434</v>
      </c>
      <c r="Q363" s="48">
        <v>28560</v>
      </c>
      <c r="R363" s="40"/>
      <c r="S363" s="40"/>
      <c r="T363" s="40"/>
      <c r="U363" s="40">
        <v>50580</v>
      </c>
      <c r="V363" s="48">
        <v>27326</v>
      </c>
      <c r="W363" s="48">
        <v>24864</v>
      </c>
      <c r="X363" s="48">
        <v>64657</v>
      </c>
      <c r="Y363" s="48">
        <v>14046</v>
      </c>
      <c r="Z363" s="48">
        <v>1764</v>
      </c>
      <c r="AA363" s="48"/>
      <c r="AB363" s="48"/>
      <c r="AC363" s="48">
        <v>10000</v>
      </c>
      <c r="AD363" s="48"/>
      <c r="AE363" s="48"/>
      <c r="AF363" s="48"/>
      <c r="AG363" s="48"/>
      <c r="AH363" s="48"/>
      <c r="AI363" s="49"/>
    </row>
    <row r="364" spans="1:35" x14ac:dyDescent="0.25">
      <c r="A364" s="48">
        <v>28</v>
      </c>
      <c r="B364" s="176" t="s">
        <v>343</v>
      </c>
      <c r="C364" s="176" t="s">
        <v>1167</v>
      </c>
      <c r="D364" s="150">
        <f t="shared" si="17"/>
        <v>49000</v>
      </c>
      <c r="E364" s="48"/>
      <c r="F364" s="48"/>
      <c r="G364" s="35"/>
      <c r="H364" s="35"/>
      <c r="I364" s="35"/>
      <c r="J364" s="35"/>
      <c r="K364" s="35"/>
      <c r="L364" s="35"/>
      <c r="M364" s="48"/>
      <c r="N364" s="48"/>
      <c r="O364" s="48"/>
      <c r="P364" s="48"/>
      <c r="Q364" s="48"/>
      <c r="R364" s="40"/>
      <c r="S364" s="40"/>
      <c r="T364" s="40"/>
      <c r="U364" s="40"/>
      <c r="V364" s="48"/>
      <c r="W364" s="48"/>
      <c r="X364" s="48"/>
      <c r="Y364" s="48"/>
      <c r="Z364" s="48"/>
      <c r="AA364" s="48"/>
      <c r="AB364" s="48"/>
      <c r="AC364" s="48">
        <v>20000</v>
      </c>
      <c r="AD364" s="48"/>
      <c r="AE364" s="48"/>
      <c r="AF364" s="48">
        <v>20000</v>
      </c>
      <c r="AG364" s="48">
        <v>8907</v>
      </c>
      <c r="AH364" s="48">
        <v>93</v>
      </c>
      <c r="AI364" s="49"/>
    </row>
    <row r="365" spans="1:35" x14ac:dyDescent="0.25">
      <c r="A365" s="48">
        <v>29</v>
      </c>
      <c r="B365" s="166" t="s">
        <v>569</v>
      </c>
      <c r="C365" s="166" t="s">
        <v>568</v>
      </c>
      <c r="D365" s="150">
        <f t="shared" si="17"/>
        <v>134</v>
      </c>
      <c r="E365" s="48"/>
      <c r="F365" s="48"/>
      <c r="G365" s="35"/>
      <c r="H365" s="35"/>
      <c r="I365" s="35"/>
      <c r="J365" s="35"/>
      <c r="K365" s="35"/>
      <c r="L365" s="35"/>
      <c r="M365" s="48"/>
      <c r="N365" s="48"/>
      <c r="O365" s="48"/>
      <c r="P365" s="48">
        <v>134</v>
      </c>
      <c r="Q365" s="48"/>
      <c r="R365" s="40"/>
      <c r="S365" s="40"/>
      <c r="T365" s="40"/>
      <c r="U365" s="40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9"/>
    </row>
    <row r="366" spans="1:35" x14ac:dyDescent="0.25">
      <c r="A366" s="48">
        <v>30</v>
      </c>
      <c r="B366" s="166" t="s">
        <v>433</v>
      </c>
      <c r="C366" s="166" t="s">
        <v>432</v>
      </c>
      <c r="D366" s="150">
        <f t="shared" si="17"/>
        <v>1500</v>
      </c>
      <c r="E366" s="48"/>
      <c r="F366" s="48"/>
      <c r="G366" s="35"/>
      <c r="H366" s="35"/>
      <c r="I366" s="35"/>
      <c r="J366" s="35"/>
      <c r="K366" s="35"/>
      <c r="L366" s="35"/>
      <c r="M366" s="48"/>
      <c r="N366" s="48"/>
      <c r="O366" s="48"/>
      <c r="P366" s="48"/>
      <c r="Q366" s="48"/>
      <c r="R366" s="40"/>
      <c r="S366" s="40"/>
      <c r="T366" s="40"/>
      <c r="U366" s="40"/>
      <c r="V366" s="48"/>
      <c r="W366" s="48"/>
      <c r="X366" s="48"/>
      <c r="Y366" s="48">
        <v>1500</v>
      </c>
      <c r="Z366" s="48"/>
      <c r="AA366" s="48"/>
      <c r="AB366" s="48"/>
      <c r="AC366" s="48"/>
      <c r="AD366" s="48"/>
      <c r="AE366" s="48"/>
      <c r="AF366" s="48"/>
      <c r="AG366" s="48"/>
      <c r="AH366" s="48"/>
      <c r="AI366" s="49"/>
    </row>
    <row r="367" spans="1:35" x14ac:dyDescent="0.25">
      <c r="A367" s="48">
        <v>31</v>
      </c>
      <c r="B367" s="176" t="s">
        <v>1218</v>
      </c>
      <c r="C367" s="176" t="s">
        <v>1217</v>
      </c>
      <c r="D367" s="150">
        <f t="shared" si="17"/>
        <v>300</v>
      </c>
      <c r="E367" s="48"/>
      <c r="F367" s="48"/>
      <c r="G367" s="35"/>
      <c r="H367" s="35"/>
      <c r="I367" s="35"/>
      <c r="J367" s="35"/>
      <c r="K367" s="35"/>
      <c r="L367" s="35"/>
      <c r="M367" s="48"/>
      <c r="N367" s="48"/>
      <c r="O367" s="48"/>
      <c r="P367" s="48"/>
      <c r="Q367" s="48"/>
      <c r="R367" s="40"/>
      <c r="S367" s="40"/>
      <c r="T367" s="40"/>
      <c r="U367" s="40"/>
      <c r="V367" s="48"/>
      <c r="W367" s="48"/>
      <c r="X367" s="48"/>
      <c r="Y367" s="48"/>
      <c r="Z367" s="48"/>
      <c r="AA367" s="48"/>
      <c r="AB367" s="48"/>
      <c r="AC367" s="48"/>
      <c r="AD367" s="48"/>
      <c r="AE367" s="48">
        <v>300</v>
      </c>
      <c r="AF367" s="48"/>
      <c r="AG367" s="48"/>
      <c r="AH367" s="48"/>
      <c r="AI367" s="49"/>
    </row>
    <row r="368" spans="1:35" x14ac:dyDescent="0.25">
      <c r="A368" s="48">
        <v>32</v>
      </c>
      <c r="B368" s="166" t="s">
        <v>584</v>
      </c>
      <c r="C368" s="166" t="s">
        <v>583</v>
      </c>
      <c r="D368" s="150">
        <f t="shared" si="17"/>
        <v>22800</v>
      </c>
      <c r="E368" s="48"/>
      <c r="F368" s="48"/>
      <c r="G368" s="35"/>
      <c r="H368" s="35"/>
      <c r="I368" s="35"/>
      <c r="J368" s="35"/>
      <c r="K368" s="35">
        <v>1800</v>
      </c>
      <c r="L368" s="35"/>
      <c r="M368" s="48"/>
      <c r="N368" s="48"/>
      <c r="O368" s="48"/>
      <c r="P368" s="48"/>
      <c r="Q368" s="48"/>
      <c r="R368" s="40"/>
      <c r="S368" s="40"/>
      <c r="T368" s="40"/>
      <c r="U368" s="40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>
        <v>20000</v>
      </c>
      <c r="AI368" s="49">
        <v>1000</v>
      </c>
    </row>
    <row r="369" spans="1:35" x14ac:dyDescent="0.25">
      <c r="A369" s="48">
        <v>33</v>
      </c>
      <c r="B369" s="166" t="s">
        <v>350</v>
      </c>
      <c r="C369" s="166" t="s">
        <v>351</v>
      </c>
      <c r="D369" s="150">
        <f t="shared" ref="D369:D400" si="18">SUM(E369:AI369)</f>
        <v>11300</v>
      </c>
      <c r="E369" s="48"/>
      <c r="F369" s="48"/>
      <c r="G369" s="35"/>
      <c r="H369" s="35"/>
      <c r="I369" s="35">
        <v>10000</v>
      </c>
      <c r="J369" s="35"/>
      <c r="K369" s="35"/>
      <c r="L369" s="35"/>
      <c r="M369" s="48"/>
      <c r="N369" s="48"/>
      <c r="O369" s="48"/>
      <c r="P369" s="48"/>
      <c r="Q369" s="48"/>
      <c r="R369" s="40"/>
      <c r="S369" s="40"/>
      <c r="T369" s="40"/>
      <c r="U369" s="40"/>
      <c r="V369" s="48"/>
      <c r="W369" s="48"/>
      <c r="X369" s="48"/>
      <c r="Y369" s="48"/>
      <c r="Z369" s="48">
        <v>1300</v>
      </c>
      <c r="AA369" s="48"/>
      <c r="AB369" s="48"/>
      <c r="AC369" s="48"/>
      <c r="AD369" s="48"/>
      <c r="AE369" s="48"/>
      <c r="AF369" s="48"/>
      <c r="AG369" s="48"/>
      <c r="AH369" s="48"/>
      <c r="AI369" s="49"/>
    </row>
    <row r="370" spans="1:35" x14ac:dyDescent="0.25">
      <c r="A370" s="48">
        <v>34</v>
      </c>
      <c r="B370" s="166" t="s">
        <v>473</v>
      </c>
      <c r="C370" s="166" t="s">
        <v>472</v>
      </c>
      <c r="D370" s="150">
        <f t="shared" si="18"/>
        <v>1940</v>
      </c>
      <c r="E370" s="48"/>
      <c r="F370" s="48"/>
      <c r="G370" s="35"/>
      <c r="H370" s="35"/>
      <c r="I370" s="35"/>
      <c r="J370" s="35"/>
      <c r="K370" s="35"/>
      <c r="L370" s="35"/>
      <c r="M370" s="48">
        <v>1940</v>
      </c>
      <c r="N370" s="48"/>
      <c r="O370" s="48"/>
      <c r="P370" s="48"/>
      <c r="Q370" s="48"/>
      <c r="R370" s="40"/>
      <c r="S370" s="40"/>
      <c r="T370" s="40"/>
      <c r="U370" s="40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9"/>
    </row>
    <row r="371" spans="1:35" x14ac:dyDescent="0.25">
      <c r="A371" s="48">
        <v>35</v>
      </c>
      <c r="B371" s="176" t="s">
        <v>1159</v>
      </c>
      <c r="C371" s="176" t="s">
        <v>1157</v>
      </c>
      <c r="D371" s="150">
        <f t="shared" si="18"/>
        <v>10000</v>
      </c>
      <c r="E371" s="48"/>
      <c r="F371" s="48"/>
      <c r="G371" s="35"/>
      <c r="H371" s="35"/>
      <c r="I371" s="35"/>
      <c r="J371" s="35"/>
      <c r="K371" s="35"/>
      <c r="L371" s="35"/>
      <c r="M371" s="48"/>
      <c r="N371" s="48"/>
      <c r="O371" s="48"/>
      <c r="P371" s="48"/>
      <c r="Q371" s="48"/>
      <c r="R371" s="40"/>
      <c r="S371" s="40"/>
      <c r="T371" s="40"/>
      <c r="U371" s="40"/>
      <c r="V371" s="48"/>
      <c r="W371" s="48"/>
      <c r="X371" s="48"/>
      <c r="Y371" s="48"/>
      <c r="Z371" s="48"/>
      <c r="AA371" s="48"/>
      <c r="AB371" s="48"/>
      <c r="AC371" s="48">
        <v>10000</v>
      </c>
      <c r="AD371" s="48"/>
      <c r="AE371" s="48"/>
      <c r="AF371" s="48"/>
      <c r="AG371" s="48"/>
      <c r="AH371" s="48"/>
      <c r="AI371" s="49"/>
    </row>
    <row r="372" spans="1:35" x14ac:dyDescent="0.25">
      <c r="A372" s="48">
        <v>36</v>
      </c>
      <c r="B372" s="176" t="s">
        <v>1160</v>
      </c>
      <c r="C372" s="176" t="s">
        <v>1158</v>
      </c>
      <c r="D372" s="150">
        <f t="shared" si="18"/>
        <v>10000</v>
      </c>
      <c r="E372" s="48"/>
      <c r="F372" s="48"/>
      <c r="G372" s="35"/>
      <c r="H372" s="35"/>
      <c r="I372" s="35"/>
      <c r="J372" s="35"/>
      <c r="K372" s="35"/>
      <c r="L372" s="35"/>
      <c r="M372" s="48"/>
      <c r="N372" s="48"/>
      <c r="O372" s="48"/>
      <c r="P372" s="48"/>
      <c r="Q372" s="48"/>
      <c r="R372" s="40"/>
      <c r="S372" s="40"/>
      <c r="T372" s="40"/>
      <c r="U372" s="40"/>
      <c r="V372" s="48"/>
      <c r="W372" s="48"/>
      <c r="X372" s="48"/>
      <c r="Y372" s="48"/>
      <c r="Z372" s="48"/>
      <c r="AA372" s="48"/>
      <c r="AB372" s="48">
        <v>6000</v>
      </c>
      <c r="AC372" s="48">
        <v>4000</v>
      </c>
      <c r="AD372" s="48"/>
      <c r="AE372" s="48"/>
      <c r="AF372" s="48"/>
      <c r="AG372" s="48"/>
      <c r="AH372" s="48"/>
      <c r="AI372" s="49"/>
    </row>
    <row r="373" spans="1:35" x14ac:dyDescent="0.25">
      <c r="A373" s="48">
        <v>37</v>
      </c>
      <c r="B373" s="176" t="s">
        <v>1162</v>
      </c>
      <c r="C373" s="176" t="s">
        <v>1161</v>
      </c>
      <c r="D373" s="150">
        <f t="shared" si="18"/>
        <v>6000</v>
      </c>
      <c r="E373" s="48"/>
      <c r="F373" s="48"/>
      <c r="G373" s="35"/>
      <c r="H373" s="35"/>
      <c r="I373" s="35"/>
      <c r="J373" s="35"/>
      <c r="K373" s="35"/>
      <c r="L373" s="35"/>
      <c r="M373" s="48"/>
      <c r="N373" s="48"/>
      <c r="O373" s="48"/>
      <c r="P373" s="48"/>
      <c r="Q373" s="48"/>
      <c r="R373" s="40"/>
      <c r="S373" s="40"/>
      <c r="T373" s="40"/>
      <c r="U373" s="40"/>
      <c r="V373" s="48"/>
      <c r="W373" s="48"/>
      <c r="X373" s="48"/>
      <c r="Y373" s="48"/>
      <c r="Z373" s="48"/>
      <c r="AA373" s="48"/>
      <c r="AB373" s="48">
        <v>6000</v>
      </c>
      <c r="AC373" s="48"/>
      <c r="AD373" s="48"/>
      <c r="AE373" s="48"/>
      <c r="AF373" s="48"/>
      <c r="AG373" s="48"/>
      <c r="AH373" s="48"/>
      <c r="AI373" s="49"/>
    </row>
    <row r="374" spans="1:35" x14ac:dyDescent="0.25">
      <c r="A374" s="48">
        <v>38</v>
      </c>
      <c r="B374" s="176" t="s">
        <v>1189</v>
      </c>
      <c r="C374" s="176" t="s">
        <v>1185</v>
      </c>
      <c r="D374" s="150">
        <f t="shared" si="18"/>
        <v>1000</v>
      </c>
      <c r="E374" s="48"/>
      <c r="F374" s="48"/>
      <c r="G374" s="35"/>
      <c r="H374" s="35"/>
      <c r="I374" s="35"/>
      <c r="J374" s="35"/>
      <c r="K374" s="35"/>
      <c r="L374" s="35"/>
      <c r="M374" s="48"/>
      <c r="N374" s="48"/>
      <c r="O374" s="48"/>
      <c r="P374" s="48"/>
      <c r="Q374" s="48"/>
      <c r="R374" s="40"/>
      <c r="S374" s="40"/>
      <c r="T374" s="40"/>
      <c r="U374" s="40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>
        <v>1000</v>
      </c>
      <c r="AG374" s="48"/>
      <c r="AH374" s="48"/>
      <c r="AI374" s="49"/>
    </row>
    <row r="375" spans="1:35" x14ac:dyDescent="0.25">
      <c r="A375" s="48">
        <v>39</v>
      </c>
      <c r="B375" s="176" t="s">
        <v>1190</v>
      </c>
      <c r="C375" s="176" t="s">
        <v>1186</v>
      </c>
      <c r="D375" s="150">
        <f t="shared" si="18"/>
        <v>1000</v>
      </c>
      <c r="E375" s="48"/>
      <c r="F375" s="48"/>
      <c r="G375" s="35"/>
      <c r="H375" s="35"/>
      <c r="I375" s="35"/>
      <c r="J375" s="35"/>
      <c r="K375" s="35"/>
      <c r="L375" s="35"/>
      <c r="M375" s="48"/>
      <c r="N375" s="48"/>
      <c r="O375" s="48"/>
      <c r="P375" s="48"/>
      <c r="Q375" s="48"/>
      <c r="R375" s="40"/>
      <c r="S375" s="40"/>
      <c r="T375" s="40"/>
      <c r="U375" s="40"/>
      <c r="V375" s="48"/>
      <c r="W375" s="48"/>
      <c r="X375" s="48"/>
      <c r="Y375" s="48"/>
      <c r="Z375" s="48"/>
      <c r="AA375" s="48"/>
      <c r="AB375" s="48"/>
      <c r="AC375" s="48"/>
      <c r="AD375" s="48"/>
      <c r="AE375" s="48">
        <v>1000</v>
      </c>
      <c r="AF375" s="48"/>
      <c r="AG375" s="48"/>
      <c r="AH375" s="48"/>
      <c r="AI375" s="49"/>
    </row>
    <row r="376" spans="1:35" x14ac:dyDescent="0.25">
      <c r="A376" s="48">
        <v>40</v>
      </c>
      <c r="B376" s="176" t="s">
        <v>1191</v>
      </c>
      <c r="C376" s="176" t="s">
        <v>1187</v>
      </c>
      <c r="D376" s="150">
        <f t="shared" si="18"/>
        <v>1000</v>
      </c>
      <c r="E376" s="48"/>
      <c r="F376" s="48"/>
      <c r="G376" s="35"/>
      <c r="H376" s="35"/>
      <c r="I376" s="35"/>
      <c r="J376" s="35"/>
      <c r="K376" s="35"/>
      <c r="L376" s="35"/>
      <c r="M376" s="48"/>
      <c r="N376" s="48"/>
      <c r="O376" s="48"/>
      <c r="P376" s="48"/>
      <c r="Q376" s="48"/>
      <c r="R376" s="40"/>
      <c r="S376" s="40"/>
      <c r="T376" s="40"/>
      <c r="U376" s="40"/>
      <c r="V376" s="48"/>
      <c r="W376" s="48"/>
      <c r="X376" s="48"/>
      <c r="Y376" s="48"/>
      <c r="Z376" s="48"/>
      <c r="AA376" s="48"/>
      <c r="AB376" s="48"/>
      <c r="AC376" s="48"/>
      <c r="AD376" s="48"/>
      <c r="AE376" s="48">
        <v>1000</v>
      </c>
      <c r="AF376" s="48"/>
      <c r="AG376" s="48"/>
      <c r="AH376" s="48"/>
      <c r="AI376" s="49"/>
    </row>
    <row r="377" spans="1:35" x14ac:dyDescent="0.25">
      <c r="A377" s="48">
        <v>41</v>
      </c>
      <c r="B377" s="176" t="s">
        <v>1192</v>
      </c>
      <c r="C377" s="176" t="s">
        <v>1188</v>
      </c>
      <c r="D377" s="150">
        <f t="shared" si="18"/>
        <v>17000</v>
      </c>
      <c r="E377" s="48"/>
      <c r="F377" s="48"/>
      <c r="G377" s="35"/>
      <c r="H377" s="35"/>
      <c r="I377" s="35"/>
      <c r="J377" s="35"/>
      <c r="K377" s="35"/>
      <c r="L377" s="35"/>
      <c r="M377" s="48"/>
      <c r="N377" s="48"/>
      <c r="O377" s="48"/>
      <c r="P377" s="48"/>
      <c r="Q377" s="48"/>
      <c r="R377" s="40"/>
      <c r="S377" s="40"/>
      <c r="T377" s="40"/>
      <c r="U377" s="40"/>
      <c r="V377" s="48"/>
      <c r="W377" s="48"/>
      <c r="X377" s="48"/>
      <c r="Y377" s="48"/>
      <c r="Z377" s="48"/>
      <c r="AA377" s="48"/>
      <c r="AB377" s="48"/>
      <c r="AC377" s="48"/>
      <c r="AD377" s="48">
        <v>7050</v>
      </c>
      <c r="AE377" s="48">
        <v>9950</v>
      </c>
      <c r="AF377" s="48"/>
      <c r="AG377" s="48"/>
      <c r="AH377" s="48"/>
      <c r="AI377" s="49"/>
    </row>
    <row r="378" spans="1:35" x14ac:dyDescent="0.25">
      <c r="A378" s="48">
        <v>42</v>
      </c>
      <c r="B378" s="166" t="s">
        <v>516</v>
      </c>
      <c r="C378" s="166" t="s">
        <v>515</v>
      </c>
      <c r="D378" s="150">
        <f t="shared" si="18"/>
        <v>8860</v>
      </c>
      <c r="E378" s="48"/>
      <c r="F378" s="48"/>
      <c r="G378" s="35"/>
      <c r="H378" s="35">
        <v>8860</v>
      </c>
      <c r="I378" s="35"/>
      <c r="J378" s="35"/>
      <c r="K378" s="35"/>
      <c r="L378" s="35"/>
      <c r="M378" s="48"/>
      <c r="N378" s="48"/>
      <c r="O378" s="48"/>
      <c r="P378" s="48"/>
      <c r="Q378" s="48"/>
      <c r="R378" s="40"/>
      <c r="S378" s="40"/>
      <c r="T378" s="40"/>
      <c r="U378" s="40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9"/>
    </row>
    <row r="379" spans="1:35" x14ac:dyDescent="0.25">
      <c r="A379" s="48">
        <v>43</v>
      </c>
      <c r="B379" s="166" t="s">
        <v>518</v>
      </c>
      <c r="C379" s="166" t="s">
        <v>517</v>
      </c>
      <c r="D379" s="150">
        <f t="shared" si="18"/>
        <v>2800</v>
      </c>
      <c r="E379" s="48"/>
      <c r="F379" s="48"/>
      <c r="G379" s="35"/>
      <c r="H379" s="35"/>
      <c r="I379" s="35"/>
      <c r="J379" s="35"/>
      <c r="K379" s="35"/>
      <c r="L379" s="35">
        <v>1800</v>
      </c>
      <c r="M379" s="48"/>
      <c r="N379" s="48"/>
      <c r="O379" s="48"/>
      <c r="P379" s="48"/>
      <c r="Q379" s="48"/>
      <c r="R379" s="40"/>
      <c r="S379" s="40"/>
      <c r="T379" s="40"/>
      <c r="U379" s="40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>
        <v>1000</v>
      </c>
      <c r="AH379" s="48"/>
      <c r="AI379" s="49"/>
    </row>
    <row r="380" spans="1:35" x14ac:dyDescent="0.25">
      <c r="A380" s="48">
        <v>44</v>
      </c>
      <c r="B380" s="176" t="s">
        <v>1224</v>
      </c>
      <c r="C380" s="176" t="s">
        <v>1223</v>
      </c>
      <c r="D380" s="150">
        <f t="shared" si="18"/>
        <v>600</v>
      </c>
      <c r="E380" s="48"/>
      <c r="F380" s="48"/>
      <c r="G380" s="35"/>
      <c r="H380" s="35"/>
      <c r="I380" s="35"/>
      <c r="J380" s="35"/>
      <c r="K380" s="35"/>
      <c r="L380" s="35"/>
      <c r="M380" s="48"/>
      <c r="N380" s="48"/>
      <c r="O380" s="48"/>
      <c r="P380" s="48"/>
      <c r="Q380" s="48"/>
      <c r="R380" s="40"/>
      <c r="S380" s="40"/>
      <c r="T380" s="40"/>
      <c r="U380" s="40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>
        <v>600</v>
      </c>
      <c r="AH380" s="48"/>
      <c r="AI380" s="49"/>
    </row>
    <row r="381" spans="1:35" x14ac:dyDescent="0.25">
      <c r="A381" s="48">
        <v>45</v>
      </c>
      <c r="B381" s="166" t="s">
        <v>520</v>
      </c>
      <c r="C381" s="166" t="s">
        <v>519</v>
      </c>
      <c r="D381" s="150">
        <f t="shared" si="18"/>
        <v>0</v>
      </c>
      <c r="E381" s="48"/>
      <c r="F381" s="48"/>
      <c r="G381" s="35"/>
      <c r="H381" s="35"/>
      <c r="I381" s="35"/>
      <c r="J381" s="35"/>
      <c r="K381" s="35"/>
      <c r="L381" s="35"/>
      <c r="M381" s="48"/>
      <c r="N381" s="48"/>
      <c r="O381" s="48"/>
      <c r="P381" s="48"/>
      <c r="Q381" s="48"/>
      <c r="R381" s="40"/>
      <c r="S381" s="40"/>
      <c r="T381" s="40"/>
      <c r="U381" s="40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9"/>
    </row>
    <row r="382" spans="1:35" x14ac:dyDescent="0.25">
      <c r="A382" s="48">
        <v>46</v>
      </c>
      <c r="B382" s="166" t="s">
        <v>748</v>
      </c>
      <c r="C382" s="166" t="s">
        <v>747</v>
      </c>
      <c r="D382" s="150">
        <f t="shared" si="18"/>
        <v>0</v>
      </c>
      <c r="E382" s="48"/>
      <c r="F382" s="48"/>
      <c r="G382" s="35"/>
      <c r="H382" s="35"/>
      <c r="I382" s="35"/>
      <c r="J382" s="35"/>
      <c r="K382" s="35"/>
      <c r="L382" s="35"/>
      <c r="M382" s="48"/>
      <c r="N382" s="48"/>
      <c r="O382" s="48"/>
      <c r="P382" s="48"/>
      <c r="Q382" s="48"/>
      <c r="R382" s="40"/>
      <c r="S382" s="40"/>
      <c r="T382" s="40"/>
      <c r="U382" s="40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9"/>
    </row>
    <row r="383" spans="1:35" x14ac:dyDescent="0.25">
      <c r="A383" s="48">
        <v>47</v>
      </c>
      <c r="B383" s="166" t="s">
        <v>340</v>
      </c>
      <c r="C383" s="166" t="s">
        <v>339</v>
      </c>
      <c r="D383" s="150">
        <f t="shared" si="18"/>
        <v>200000</v>
      </c>
      <c r="E383" s="48"/>
      <c r="F383" s="48"/>
      <c r="G383" s="35"/>
      <c r="H383" s="35"/>
      <c r="I383" s="35"/>
      <c r="J383" s="35"/>
      <c r="K383" s="35"/>
      <c r="L383" s="35">
        <v>58422</v>
      </c>
      <c r="M383" s="48">
        <v>41578</v>
      </c>
      <c r="N383" s="48"/>
      <c r="O383" s="48"/>
      <c r="P383" s="48">
        <v>20034</v>
      </c>
      <c r="Q383" s="48"/>
      <c r="R383" s="40"/>
      <c r="S383" s="40"/>
      <c r="T383" s="40"/>
      <c r="U383" s="40">
        <v>70518</v>
      </c>
      <c r="V383" s="48"/>
      <c r="W383" s="48"/>
      <c r="X383" s="48">
        <v>9198</v>
      </c>
      <c r="Y383" s="48"/>
      <c r="Z383" s="48"/>
      <c r="AA383" s="48">
        <v>250</v>
      </c>
      <c r="AB383" s="48"/>
      <c r="AC383" s="48"/>
      <c r="AD383" s="48"/>
      <c r="AE383" s="48"/>
      <c r="AF383" s="48"/>
      <c r="AG383" s="48"/>
      <c r="AH383" s="48"/>
      <c r="AI383" s="49"/>
    </row>
    <row r="384" spans="1:35" x14ac:dyDescent="0.25">
      <c r="A384" s="48">
        <v>48</v>
      </c>
      <c r="B384" s="166" t="s">
        <v>696</v>
      </c>
      <c r="C384" s="166" t="s">
        <v>695</v>
      </c>
      <c r="D384" s="150">
        <f t="shared" si="18"/>
        <v>0</v>
      </c>
      <c r="E384" s="48"/>
      <c r="F384" s="48"/>
      <c r="G384" s="35"/>
      <c r="H384" s="35"/>
      <c r="I384" s="35"/>
      <c r="J384" s="35"/>
      <c r="K384" s="35"/>
      <c r="L384" s="35"/>
      <c r="M384" s="48"/>
      <c r="N384" s="48"/>
      <c r="O384" s="48"/>
      <c r="P384" s="48"/>
      <c r="Q384" s="48"/>
      <c r="R384" s="40"/>
      <c r="S384" s="40"/>
      <c r="T384" s="40"/>
      <c r="U384" s="40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9"/>
    </row>
    <row r="385" spans="1:35" x14ac:dyDescent="0.25">
      <c r="A385" s="48">
        <v>49</v>
      </c>
      <c r="B385" s="176" t="s">
        <v>1020</v>
      </c>
      <c r="C385" s="176" t="s">
        <v>1019</v>
      </c>
      <c r="D385" s="150">
        <f t="shared" si="18"/>
        <v>9461</v>
      </c>
      <c r="E385" s="48"/>
      <c r="F385" s="48"/>
      <c r="G385" s="35"/>
      <c r="H385" s="35"/>
      <c r="I385" s="35"/>
      <c r="J385" s="35"/>
      <c r="K385" s="35"/>
      <c r="L385" s="35"/>
      <c r="M385" s="48">
        <v>1960</v>
      </c>
      <c r="N385" s="48"/>
      <c r="O385" s="48">
        <v>1</v>
      </c>
      <c r="P385" s="48"/>
      <c r="Q385" s="48"/>
      <c r="R385" s="40"/>
      <c r="S385" s="40"/>
      <c r="T385" s="40"/>
      <c r="U385" s="40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>
        <v>7000</v>
      </c>
      <c r="AI385" s="49">
        <v>500</v>
      </c>
    </row>
    <row r="386" spans="1:35" x14ac:dyDescent="0.25">
      <c r="A386" s="48">
        <v>50</v>
      </c>
      <c r="B386" s="176" t="s">
        <v>1022</v>
      </c>
      <c r="C386" s="176" t="s">
        <v>1021</v>
      </c>
      <c r="D386" s="150">
        <f t="shared" si="18"/>
        <v>1410</v>
      </c>
      <c r="E386" s="48"/>
      <c r="F386" s="48"/>
      <c r="G386" s="35"/>
      <c r="H386" s="35"/>
      <c r="I386" s="35"/>
      <c r="J386" s="35"/>
      <c r="K386" s="35"/>
      <c r="L386" s="35"/>
      <c r="M386" s="48"/>
      <c r="N386" s="48"/>
      <c r="O386" s="48"/>
      <c r="P386" s="48"/>
      <c r="Q386" s="48"/>
      <c r="R386" s="40"/>
      <c r="S386" s="40"/>
      <c r="T386" s="40"/>
      <c r="U386" s="40"/>
      <c r="V386" s="48">
        <v>1410</v>
      </c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9"/>
    </row>
    <row r="387" spans="1:35" x14ac:dyDescent="0.25">
      <c r="A387" s="48">
        <v>51</v>
      </c>
      <c r="B387" s="166" t="s">
        <v>699</v>
      </c>
      <c r="C387" s="166" t="s">
        <v>697</v>
      </c>
      <c r="D387" s="150">
        <f t="shared" si="18"/>
        <v>6663</v>
      </c>
      <c r="E387" s="48"/>
      <c r="F387" s="48"/>
      <c r="G387" s="35"/>
      <c r="H387" s="35"/>
      <c r="I387" s="35"/>
      <c r="J387" s="35"/>
      <c r="K387" s="35"/>
      <c r="L387" s="35"/>
      <c r="M387" s="48"/>
      <c r="N387" s="48"/>
      <c r="O387" s="48"/>
      <c r="P387" s="48"/>
      <c r="Q387" s="48"/>
      <c r="R387" s="40"/>
      <c r="S387" s="40"/>
      <c r="T387" s="40"/>
      <c r="U387" s="40"/>
      <c r="V387" s="48"/>
      <c r="W387" s="48"/>
      <c r="X387" s="48">
        <v>6663</v>
      </c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9"/>
    </row>
    <row r="388" spans="1:35" x14ac:dyDescent="0.25">
      <c r="A388" s="48">
        <v>52</v>
      </c>
      <c r="B388" s="166" t="s">
        <v>700</v>
      </c>
      <c r="C388" s="166" t="s">
        <v>698</v>
      </c>
      <c r="D388" s="150">
        <f t="shared" si="18"/>
        <v>0</v>
      </c>
      <c r="E388" s="48"/>
      <c r="F388" s="48"/>
      <c r="G388" s="35"/>
      <c r="H388" s="35"/>
      <c r="I388" s="35"/>
      <c r="J388" s="35"/>
      <c r="K388" s="35"/>
      <c r="L388" s="35"/>
      <c r="M388" s="48"/>
      <c r="N388" s="48"/>
      <c r="O388" s="48"/>
      <c r="P388" s="48"/>
      <c r="Q388" s="48"/>
      <c r="R388" s="40"/>
      <c r="S388" s="40"/>
      <c r="T388" s="40"/>
      <c r="U388" s="40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9"/>
    </row>
    <row r="389" spans="1:35" x14ac:dyDescent="0.25">
      <c r="A389" s="48">
        <v>53</v>
      </c>
      <c r="B389" s="166" t="s">
        <v>703</v>
      </c>
      <c r="C389" s="166" t="s">
        <v>701</v>
      </c>
      <c r="D389" s="150">
        <f t="shared" si="18"/>
        <v>0</v>
      </c>
      <c r="E389" s="48"/>
      <c r="F389" s="48"/>
      <c r="G389" s="35"/>
      <c r="H389" s="35"/>
      <c r="I389" s="35"/>
      <c r="J389" s="35"/>
      <c r="K389" s="35"/>
      <c r="L389" s="35"/>
      <c r="M389" s="48"/>
      <c r="N389" s="48"/>
      <c r="O389" s="48"/>
      <c r="P389" s="48"/>
      <c r="Q389" s="48"/>
      <c r="R389" s="40"/>
      <c r="S389" s="40"/>
      <c r="T389" s="40"/>
      <c r="U389" s="40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9"/>
    </row>
    <row r="390" spans="1:35" x14ac:dyDescent="0.25">
      <c r="A390" s="48">
        <v>54</v>
      </c>
      <c r="B390" s="166" t="s">
        <v>704</v>
      </c>
      <c r="C390" s="166" t="s">
        <v>702</v>
      </c>
      <c r="D390" s="150">
        <f t="shared" si="18"/>
        <v>4340</v>
      </c>
      <c r="E390" s="48"/>
      <c r="F390" s="48"/>
      <c r="G390" s="35"/>
      <c r="H390" s="35"/>
      <c r="I390" s="35"/>
      <c r="J390" s="35"/>
      <c r="K390" s="35"/>
      <c r="L390" s="35"/>
      <c r="M390" s="48"/>
      <c r="N390" s="48"/>
      <c r="O390" s="48"/>
      <c r="P390" s="48"/>
      <c r="Q390" s="48"/>
      <c r="R390" s="40"/>
      <c r="S390" s="40"/>
      <c r="T390" s="40"/>
      <c r="U390" s="40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>
        <v>4335</v>
      </c>
      <c r="AH390" s="48">
        <v>5</v>
      </c>
      <c r="AI390" s="49"/>
    </row>
    <row r="391" spans="1:35" x14ac:dyDescent="0.25">
      <c r="A391" s="48">
        <v>55</v>
      </c>
      <c r="B391" s="166" t="s">
        <v>707</v>
      </c>
      <c r="C391" s="166" t="s">
        <v>705</v>
      </c>
      <c r="D391" s="150">
        <f t="shared" si="18"/>
        <v>0</v>
      </c>
      <c r="E391" s="48"/>
      <c r="F391" s="48"/>
      <c r="G391" s="35"/>
      <c r="H391" s="35"/>
      <c r="I391" s="35"/>
      <c r="J391" s="35"/>
      <c r="K391" s="35"/>
      <c r="L391" s="35"/>
      <c r="M391" s="48"/>
      <c r="N391" s="48"/>
      <c r="O391" s="48"/>
      <c r="P391" s="48"/>
      <c r="Q391" s="48"/>
      <c r="R391" s="40"/>
      <c r="S391" s="40"/>
      <c r="T391" s="40"/>
      <c r="U391" s="40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9"/>
    </row>
    <row r="392" spans="1:35" x14ac:dyDescent="0.25">
      <c r="A392" s="48">
        <v>56</v>
      </c>
      <c r="B392" s="166" t="s">
        <v>708</v>
      </c>
      <c r="C392" s="166" t="s">
        <v>706</v>
      </c>
      <c r="D392" s="150">
        <f t="shared" si="18"/>
        <v>3000</v>
      </c>
      <c r="E392" s="48"/>
      <c r="F392" s="48"/>
      <c r="G392" s="35"/>
      <c r="H392" s="35"/>
      <c r="I392" s="35"/>
      <c r="J392" s="35"/>
      <c r="K392" s="35"/>
      <c r="L392" s="35"/>
      <c r="M392" s="48"/>
      <c r="N392" s="48"/>
      <c r="O392" s="48"/>
      <c r="P392" s="48"/>
      <c r="Q392" s="48"/>
      <c r="R392" s="40"/>
      <c r="S392" s="40"/>
      <c r="T392" s="40"/>
      <c r="U392" s="40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>
        <v>3000</v>
      </c>
      <c r="AH392" s="48"/>
      <c r="AI392" s="49"/>
    </row>
    <row r="393" spans="1:35" x14ac:dyDescent="0.25">
      <c r="A393" s="48">
        <v>57</v>
      </c>
      <c r="B393" s="166" t="s">
        <v>710</v>
      </c>
      <c r="C393" s="166" t="s">
        <v>709</v>
      </c>
      <c r="D393" s="150">
        <f t="shared" si="18"/>
        <v>0</v>
      </c>
      <c r="E393" s="48"/>
      <c r="F393" s="48"/>
      <c r="G393" s="35"/>
      <c r="H393" s="35"/>
      <c r="I393" s="35"/>
      <c r="J393" s="35"/>
      <c r="K393" s="35"/>
      <c r="L393" s="35"/>
      <c r="M393" s="48"/>
      <c r="N393" s="48"/>
      <c r="O393" s="48"/>
      <c r="P393" s="48"/>
      <c r="Q393" s="48"/>
      <c r="R393" s="40"/>
      <c r="S393" s="40"/>
      <c r="T393" s="40"/>
      <c r="U393" s="40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9"/>
    </row>
    <row r="394" spans="1:35" x14ac:dyDescent="0.25">
      <c r="A394" s="48">
        <v>58</v>
      </c>
      <c r="B394" s="166" t="s">
        <v>334</v>
      </c>
      <c r="C394" s="166" t="s">
        <v>525</v>
      </c>
      <c r="D394" s="150">
        <f t="shared" si="18"/>
        <v>15900</v>
      </c>
      <c r="E394" s="48"/>
      <c r="F394" s="48"/>
      <c r="G394" s="35"/>
      <c r="H394" s="35"/>
      <c r="I394" s="35"/>
      <c r="J394" s="35"/>
      <c r="K394" s="35"/>
      <c r="L394" s="35"/>
      <c r="M394" s="48"/>
      <c r="N394" s="48">
        <v>7900</v>
      </c>
      <c r="O394" s="48"/>
      <c r="P394" s="48"/>
      <c r="Q394" s="48"/>
      <c r="R394" s="40"/>
      <c r="S394" s="40"/>
      <c r="T394" s="40"/>
      <c r="U394" s="40"/>
      <c r="V394" s="48"/>
      <c r="W394" s="48"/>
      <c r="X394" s="48"/>
      <c r="Y394" s="48"/>
      <c r="Z394" s="48"/>
      <c r="AA394" s="48"/>
      <c r="AB394" s="48"/>
      <c r="AC394" s="48"/>
      <c r="AD394" s="48">
        <v>5000</v>
      </c>
      <c r="AE394" s="48">
        <v>3000</v>
      </c>
      <c r="AF394" s="48"/>
      <c r="AG394" s="48"/>
      <c r="AH394" s="48"/>
      <c r="AI394" s="49"/>
    </row>
    <row r="395" spans="1:35" x14ac:dyDescent="0.25">
      <c r="A395" s="48">
        <v>59</v>
      </c>
      <c r="B395" s="166" t="s">
        <v>712</v>
      </c>
      <c r="C395" s="166" t="s">
        <v>711</v>
      </c>
      <c r="D395" s="150">
        <f t="shared" si="18"/>
        <v>1100</v>
      </c>
      <c r="E395" s="48"/>
      <c r="F395" s="48"/>
      <c r="G395" s="35"/>
      <c r="H395" s="35">
        <v>1100</v>
      </c>
      <c r="I395" s="35"/>
      <c r="J395" s="35"/>
      <c r="K395" s="35"/>
      <c r="L395" s="35"/>
      <c r="M395" s="48"/>
      <c r="N395" s="48"/>
      <c r="O395" s="48"/>
      <c r="P395" s="48"/>
      <c r="Q395" s="48"/>
      <c r="R395" s="40"/>
      <c r="S395" s="40"/>
      <c r="T395" s="40"/>
      <c r="U395" s="40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9"/>
    </row>
    <row r="396" spans="1:35" x14ac:dyDescent="0.25">
      <c r="A396" s="48">
        <v>60</v>
      </c>
      <c r="B396" s="166" t="s">
        <v>527</v>
      </c>
      <c r="C396" s="166" t="s">
        <v>526</v>
      </c>
      <c r="D396" s="150">
        <f t="shared" si="18"/>
        <v>35000</v>
      </c>
      <c r="E396" s="48"/>
      <c r="F396" s="48"/>
      <c r="G396" s="35"/>
      <c r="H396" s="35"/>
      <c r="I396" s="35"/>
      <c r="J396" s="35"/>
      <c r="K396" s="35"/>
      <c r="L396" s="35"/>
      <c r="M396" s="48"/>
      <c r="N396" s="48"/>
      <c r="O396" s="48"/>
      <c r="P396" s="48"/>
      <c r="Q396" s="48"/>
      <c r="R396" s="40"/>
      <c r="S396" s="40"/>
      <c r="T396" s="40"/>
      <c r="U396" s="40"/>
      <c r="V396" s="48"/>
      <c r="W396" s="48"/>
      <c r="X396" s="48"/>
      <c r="Y396" s="48"/>
      <c r="Z396" s="48"/>
      <c r="AA396" s="48"/>
      <c r="AB396" s="48"/>
      <c r="AC396" s="48">
        <v>21000</v>
      </c>
      <c r="AD396" s="48"/>
      <c r="AE396" s="48"/>
      <c r="AF396" s="48"/>
      <c r="AG396" s="48"/>
      <c r="AH396" s="48"/>
      <c r="AI396" s="49">
        <v>14000</v>
      </c>
    </row>
    <row r="397" spans="1:35" x14ac:dyDescent="0.25">
      <c r="A397" s="48">
        <v>61</v>
      </c>
      <c r="B397" s="166" t="s">
        <v>386</v>
      </c>
      <c r="C397" s="166" t="s">
        <v>385</v>
      </c>
      <c r="D397" s="150">
        <f t="shared" si="18"/>
        <v>16000</v>
      </c>
      <c r="E397" s="48"/>
      <c r="F397" s="48"/>
      <c r="G397" s="35"/>
      <c r="H397" s="35"/>
      <c r="I397" s="35"/>
      <c r="J397" s="35"/>
      <c r="K397" s="35"/>
      <c r="L397" s="35"/>
      <c r="M397" s="48"/>
      <c r="N397" s="48"/>
      <c r="O397" s="48"/>
      <c r="P397" s="48"/>
      <c r="Q397" s="48"/>
      <c r="R397" s="40"/>
      <c r="S397" s="40"/>
      <c r="T397" s="40"/>
      <c r="U397" s="40"/>
      <c r="V397" s="48"/>
      <c r="W397" s="48"/>
      <c r="X397" s="48"/>
      <c r="Y397" s="48"/>
      <c r="Z397" s="48">
        <v>5000</v>
      </c>
      <c r="AA397" s="48"/>
      <c r="AB397" s="48"/>
      <c r="AC397" s="48"/>
      <c r="AD397" s="48"/>
      <c r="AE397" s="48"/>
      <c r="AF397" s="48"/>
      <c r="AG397" s="48">
        <v>4176</v>
      </c>
      <c r="AH397" s="48">
        <v>1824</v>
      </c>
      <c r="AI397" s="49">
        <v>5000</v>
      </c>
    </row>
    <row r="398" spans="1:35" x14ac:dyDescent="0.25">
      <c r="A398" s="48">
        <v>62</v>
      </c>
      <c r="B398" s="166" t="s">
        <v>341</v>
      </c>
      <c r="C398" s="166" t="s">
        <v>387</v>
      </c>
      <c r="D398" s="150">
        <f t="shared" si="18"/>
        <v>7000</v>
      </c>
      <c r="E398" s="48"/>
      <c r="F398" s="48"/>
      <c r="G398" s="35"/>
      <c r="H398" s="35"/>
      <c r="I398" s="35"/>
      <c r="J398" s="35"/>
      <c r="K398" s="35"/>
      <c r="L398" s="35"/>
      <c r="M398" s="48"/>
      <c r="N398" s="48"/>
      <c r="O398" s="48"/>
      <c r="P398" s="48"/>
      <c r="Q398" s="48"/>
      <c r="R398" s="40"/>
      <c r="S398" s="40"/>
      <c r="T398" s="40"/>
      <c r="U398" s="40"/>
      <c r="V398" s="48"/>
      <c r="W398" s="48"/>
      <c r="X398" s="48">
        <v>5520</v>
      </c>
      <c r="Y398" s="48">
        <v>1480</v>
      </c>
      <c r="Z398" s="48"/>
      <c r="AA398" s="48"/>
      <c r="AB398" s="48"/>
      <c r="AC398" s="48"/>
      <c r="AD398" s="48"/>
      <c r="AE398" s="48"/>
      <c r="AF398" s="48"/>
      <c r="AG398" s="48"/>
      <c r="AH398" s="48"/>
      <c r="AI398" s="49"/>
    </row>
    <row r="399" spans="1:35" x14ac:dyDescent="0.25">
      <c r="A399" s="48">
        <v>63</v>
      </c>
      <c r="B399" s="166" t="s">
        <v>770</v>
      </c>
      <c r="C399" s="166" t="s">
        <v>769</v>
      </c>
      <c r="D399" s="150">
        <f t="shared" si="18"/>
        <v>2850</v>
      </c>
      <c r="E399" s="48"/>
      <c r="F399" s="48"/>
      <c r="G399" s="35"/>
      <c r="H399" s="35"/>
      <c r="I399" s="35"/>
      <c r="J399" s="35"/>
      <c r="K399" s="35"/>
      <c r="L399" s="35"/>
      <c r="M399" s="48"/>
      <c r="N399" s="48"/>
      <c r="O399" s="48"/>
      <c r="P399" s="48"/>
      <c r="Q399" s="48"/>
      <c r="R399" s="40"/>
      <c r="S399" s="40"/>
      <c r="T399" s="40"/>
      <c r="U399" s="40"/>
      <c r="V399" s="48"/>
      <c r="W399" s="48"/>
      <c r="X399" s="48"/>
      <c r="Y399" s="48">
        <v>2840</v>
      </c>
      <c r="Z399" s="48"/>
      <c r="AA399" s="48"/>
      <c r="AB399" s="48">
        <v>10</v>
      </c>
      <c r="AC399" s="48"/>
      <c r="AD399" s="48"/>
      <c r="AE399" s="48"/>
      <c r="AF399" s="48"/>
      <c r="AG399" s="48"/>
      <c r="AH399" s="48"/>
      <c r="AI399" s="49"/>
    </row>
    <row r="400" spans="1:35" x14ac:dyDescent="0.25">
      <c r="A400" s="48">
        <v>64</v>
      </c>
      <c r="B400" s="166" t="s">
        <v>772</v>
      </c>
      <c r="C400" s="166" t="s">
        <v>771</v>
      </c>
      <c r="D400" s="150">
        <f t="shared" si="18"/>
        <v>0</v>
      </c>
      <c r="E400" s="48"/>
      <c r="F400" s="48"/>
      <c r="G400" s="35"/>
      <c r="H400" s="35"/>
      <c r="I400" s="35"/>
      <c r="J400" s="35"/>
      <c r="K400" s="35"/>
      <c r="L400" s="35"/>
      <c r="M400" s="48"/>
      <c r="N400" s="48"/>
      <c r="O400" s="48"/>
      <c r="P400" s="48"/>
      <c r="Q400" s="48"/>
      <c r="R400" s="40"/>
      <c r="S400" s="40"/>
      <c r="T400" s="40"/>
      <c r="U400" s="40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9"/>
    </row>
    <row r="401" spans="1:35" x14ac:dyDescent="0.25">
      <c r="A401" s="48">
        <v>65</v>
      </c>
      <c r="B401" s="166" t="s">
        <v>352</v>
      </c>
      <c r="C401" s="166" t="s">
        <v>353</v>
      </c>
      <c r="D401" s="150">
        <f t="shared" ref="D401:D432" si="19">SUM(E401:AI401)</f>
        <v>0</v>
      </c>
      <c r="E401" s="48"/>
      <c r="F401" s="48"/>
      <c r="G401" s="35"/>
      <c r="H401" s="35"/>
      <c r="I401" s="35"/>
      <c r="J401" s="35"/>
      <c r="K401" s="35"/>
      <c r="L401" s="35"/>
      <c r="M401" s="48"/>
      <c r="N401" s="48"/>
      <c r="O401" s="48"/>
      <c r="P401" s="48"/>
      <c r="Q401" s="48"/>
      <c r="R401" s="40"/>
      <c r="S401" s="40"/>
      <c r="T401" s="40"/>
      <c r="U401" s="40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9"/>
    </row>
    <row r="402" spans="1:35" x14ac:dyDescent="0.25">
      <c r="A402" s="48">
        <v>66</v>
      </c>
      <c r="B402" s="166" t="s">
        <v>378</v>
      </c>
      <c r="C402" s="166" t="s">
        <v>377</v>
      </c>
      <c r="D402" s="150">
        <f t="shared" si="19"/>
        <v>0</v>
      </c>
      <c r="E402" s="48"/>
      <c r="F402" s="48"/>
      <c r="G402" s="35"/>
      <c r="H402" s="35"/>
      <c r="I402" s="35"/>
      <c r="J402" s="35"/>
      <c r="K402" s="35"/>
      <c r="L402" s="35"/>
      <c r="M402" s="48"/>
      <c r="N402" s="48"/>
      <c r="O402" s="48"/>
      <c r="P402" s="48"/>
      <c r="Q402" s="48"/>
      <c r="R402" s="40"/>
      <c r="S402" s="40"/>
      <c r="T402" s="40"/>
      <c r="U402" s="40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9"/>
    </row>
    <row r="403" spans="1:35" x14ac:dyDescent="0.25">
      <c r="A403" s="48">
        <v>67</v>
      </c>
      <c r="B403" s="166" t="s">
        <v>379</v>
      </c>
      <c r="C403" s="166" t="s">
        <v>382</v>
      </c>
      <c r="D403" s="150">
        <f t="shared" si="19"/>
        <v>0</v>
      </c>
      <c r="E403" s="48"/>
      <c r="F403" s="48"/>
      <c r="G403" s="35"/>
      <c r="H403" s="35"/>
      <c r="I403" s="35"/>
      <c r="J403" s="35"/>
      <c r="K403" s="35"/>
      <c r="L403" s="35"/>
      <c r="M403" s="48"/>
      <c r="N403" s="48"/>
      <c r="O403" s="48"/>
      <c r="P403" s="48"/>
      <c r="Q403" s="48"/>
      <c r="R403" s="40"/>
      <c r="S403" s="40"/>
      <c r="T403" s="40"/>
      <c r="U403" s="40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9"/>
    </row>
    <row r="404" spans="1:35" x14ac:dyDescent="0.25">
      <c r="A404" s="48">
        <v>68</v>
      </c>
      <c r="B404" s="166" t="s">
        <v>380</v>
      </c>
      <c r="C404" s="166" t="s">
        <v>383</v>
      </c>
      <c r="D404" s="150">
        <f t="shared" si="19"/>
        <v>250</v>
      </c>
      <c r="E404" s="48"/>
      <c r="F404" s="48"/>
      <c r="G404" s="35"/>
      <c r="H404" s="35"/>
      <c r="I404" s="35"/>
      <c r="J404" s="35"/>
      <c r="K404" s="35"/>
      <c r="L404" s="35">
        <v>250</v>
      </c>
      <c r="M404" s="48"/>
      <c r="N404" s="48"/>
      <c r="O404" s="48"/>
      <c r="P404" s="48"/>
      <c r="Q404" s="48"/>
      <c r="R404" s="40"/>
      <c r="S404" s="40"/>
      <c r="T404" s="40"/>
      <c r="U404" s="40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9"/>
    </row>
    <row r="405" spans="1:35" x14ac:dyDescent="0.25">
      <c r="A405" s="48">
        <v>69</v>
      </c>
      <c r="B405" s="166" t="s">
        <v>381</v>
      </c>
      <c r="C405" s="166" t="s">
        <v>384</v>
      </c>
      <c r="D405" s="150">
        <f t="shared" si="19"/>
        <v>4972</v>
      </c>
      <c r="E405" s="48"/>
      <c r="F405" s="48"/>
      <c r="G405" s="35"/>
      <c r="H405" s="35"/>
      <c r="I405" s="35"/>
      <c r="J405" s="35"/>
      <c r="K405" s="35"/>
      <c r="L405" s="35"/>
      <c r="M405" s="48"/>
      <c r="N405" s="48"/>
      <c r="O405" s="48"/>
      <c r="P405" s="48"/>
      <c r="Q405" s="48"/>
      <c r="R405" s="40"/>
      <c r="S405" s="40"/>
      <c r="T405" s="40"/>
      <c r="U405" s="40"/>
      <c r="V405" s="48"/>
      <c r="W405" s="48">
        <v>4968</v>
      </c>
      <c r="X405" s="48"/>
      <c r="Y405" s="48"/>
      <c r="Z405" s="48"/>
      <c r="AA405" s="48"/>
      <c r="AB405" s="48">
        <v>4</v>
      </c>
      <c r="AC405" s="48"/>
      <c r="AD405" s="48"/>
      <c r="AE405" s="48"/>
      <c r="AF405" s="48"/>
      <c r="AG405" s="48"/>
      <c r="AH405" s="48"/>
      <c r="AI405" s="49"/>
    </row>
    <row r="406" spans="1:35" x14ac:dyDescent="0.25">
      <c r="A406" s="48">
        <v>70</v>
      </c>
      <c r="B406" s="166" t="s">
        <v>341</v>
      </c>
      <c r="C406" s="166" t="s">
        <v>833</v>
      </c>
      <c r="D406" s="150">
        <f t="shared" si="19"/>
        <v>11000</v>
      </c>
      <c r="E406" s="48"/>
      <c r="F406" s="48"/>
      <c r="G406" s="35"/>
      <c r="H406" s="35"/>
      <c r="I406" s="35"/>
      <c r="J406" s="35"/>
      <c r="K406" s="35"/>
      <c r="L406" s="35"/>
      <c r="M406" s="48">
        <v>10410</v>
      </c>
      <c r="N406" s="48">
        <v>590</v>
      </c>
      <c r="O406" s="48"/>
      <c r="P406" s="48"/>
      <c r="Q406" s="48"/>
      <c r="R406" s="40"/>
      <c r="S406" s="40"/>
      <c r="T406" s="40"/>
      <c r="U406" s="40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9"/>
    </row>
    <row r="407" spans="1:35" x14ac:dyDescent="0.25">
      <c r="A407" s="48">
        <v>71</v>
      </c>
      <c r="B407" s="166" t="s">
        <v>835</v>
      </c>
      <c r="C407" s="166" t="s">
        <v>834</v>
      </c>
      <c r="D407" s="150">
        <f t="shared" si="19"/>
        <v>798</v>
      </c>
      <c r="E407" s="48"/>
      <c r="F407" s="48"/>
      <c r="G407" s="35"/>
      <c r="H407" s="35"/>
      <c r="I407" s="35"/>
      <c r="J407" s="35"/>
      <c r="K407" s="35"/>
      <c r="L407" s="35"/>
      <c r="M407" s="48"/>
      <c r="N407" s="48"/>
      <c r="O407" s="48"/>
      <c r="P407" s="48"/>
      <c r="Q407" s="48"/>
      <c r="R407" s="40"/>
      <c r="S407" s="40"/>
      <c r="T407" s="40"/>
      <c r="U407" s="40"/>
      <c r="V407" s="48"/>
      <c r="W407" s="48"/>
      <c r="X407" s="48"/>
      <c r="Y407" s="48"/>
      <c r="Z407" s="48">
        <v>300</v>
      </c>
      <c r="AA407" s="48"/>
      <c r="AB407" s="48"/>
      <c r="AC407" s="48"/>
      <c r="AD407" s="48"/>
      <c r="AE407" s="48"/>
      <c r="AF407" s="48"/>
      <c r="AG407" s="48"/>
      <c r="AH407" s="48">
        <v>498</v>
      </c>
      <c r="AI407" s="49"/>
    </row>
    <row r="408" spans="1:35" x14ac:dyDescent="0.25">
      <c r="A408" s="48">
        <v>72</v>
      </c>
      <c r="B408" s="166" t="s">
        <v>113</v>
      </c>
      <c r="C408" s="166" t="s">
        <v>114</v>
      </c>
      <c r="D408" s="150">
        <f t="shared" si="19"/>
        <v>4500</v>
      </c>
      <c r="E408" s="48"/>
      <c r="F408" s="48"/>
      <c r="G408" s="35"/>
      <c r="H408" s="35"/>
      <c r="I408" s="35"/>
      <c r="J408" s="35"/>
      <c r="K408" s="35"/>
      <c r="L408" s="35"/>
      <c r="M408" s="48"/>
      <c r="N408" s="48"/>
      <c r="O408" s="48"/>
      <c r="P408" s="48"/>
      <c r="Q408" s="48"/>
      <c r="R408" s="40"/>
      <c r="S408" s="40"/>
      <c r="T408" s="40"/>
      <c r="U408" s="40"/>
      <c r="V408" s="48"/>
      <c r="W408" s="48">
        <v>1520</v>
      </c>
      <c r="X408" s="48">
        <v>2972</v>
      </c>
      <c r="Y408" s="48"/>
      <c r="Z408" s="48"/>
      <c r="AA408" s="48"/>
      <c r="AB408" s="48">
        <v>8</v>
      </c>
      <c r="AC408" s="48"/>
      <c r="AD408" s="48"/>
      <c r="AE408" s="48"/>
      <c r="AF408" s="48"/>
      <c r="AG408" s="48"/>
      <c r="AH408" s="48"/>
      <c r="AI408" s="49"/>
    </row>
    <row r="409" spans="1:35" x14ac:dyDescent="0.25">
      <c r="A409" s="48">
        <v>73</v>
      </c>
      <c r="B409" s="166" t="s">
        <v>778</v>
      </c>
      <c r="C409" s="166" t="s">
        <v>777</v>
      </c>
      <c r="D409" s="150">
        <f t="shared" si="19"/>
        <v>1000</v>
      </c>
      <c r="E409" s="48"/>
      <c r="F409" s="48"/>
      <c r="G409" s="35"/>
      <c r="H409" s="35"/>
      <c r="I409" s="35"/>
      <c r="J409" s="35"/>
      <c r="K409" s="35"/>
      <c r="L409" s="35"/>
      <c r="M409" s="48"/>
      <c r="N409" s="48"/>
      <c r="O409" s="48"/>
      <c r="P409" s="48"/>
      <c r="Q409" s="48"/>
      <c r="R409" s="40"/>
      <c r="S409" s="40"/>
      <c r="T409" s="40"/>
      <c r="U409" s="40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>
        <v>1000</v>
      </c>
      <c r="AH409" s="48"/>
      <c r="AI409" s="49"/>
    </row>
    <row r="410" spans="1:35" x14ac:dyDescent="0.25">
      <c r="A410" s="48">
        <v>74</v>
      </c>
      <c r="B410" s="166" t="s">
        <v>780</v>
      </c>
      <c r="C410" s="166" t="s">
        <v>779</v>
      </c>
      <c r="D410" s="150">
        <f t="shared" si="19"/>
        <v>5000</v>
      </c>
      <c r="E410" s="48"/>
      <c r="F410" s="48"/>
      <c r="G410" s="35"/>
      <c r="H410" s="35"/>
      <c r="I410" s="35"/>
      <c r="J410" s="35"/>
      <c r="K410" s="35"/>
      <c r="L410" s="35"/>
      <c r="M410" s="48"/>
      <c r="N410" s="48"/>
      <c r="O410" s="48"/>
      <c r="P410" s="48"/>
      <c r="Q410" s="48"/>
      <c r="R410" s="40"/>
      <c r="S410" s="40"/>
      <c r="T410" s="40"/>
      <c r="U410" s="40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>
        <v>5000</v>
      </c>
      <c r="AH410" s="48"/>
      <c r="AI410" s="49"/>
    </row>
    <row r="411" spans="1:35" x14ac:dyDescent="0.25">
      <c r="A411" s="48">
        <v>75</v>
      </c>
      <c r="B411" s="166" t="s">
        <v>782</v>
      </c>
      <c r="C411" s="166" t="s">
        <v>781</v>
      </c>
      <c r="D411" s="150">
        <f t="shared" si="19"/>
        <v>3700</v>
      </c>
      <c r="E411" s="48"/>
      <c r="F411" s="48"/>
      <c r="G411" s="35"/>
      <c r="H411" s="35"/>
      <c r="I411" s="35"/>
      <c r="J411" s="35"/>
      <c r="K411" s="35"/>
      <c r="L411" s="35"/>
      <c r="M411" s="48"/>
      <c r="N411" s="48"/>
      <c r="O411" s="48">
        <v>1200</v>
      </c>
      <c r="P411" s="48"/>
      <c r="Q411" s="48"/>
      <c r="R411" s="40"/>
      <c r="S411" s="40"/>
      <c r="T411" s="40"/>
      <c r="U411" s="40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>
        <v>1990</v>
      </c>
      <c r="AH411" s="48">
        <v>510</v>
      </c>
      <c r="AI411" s="49"/>
    </row>
    <row r="412" spans="1:35" x14ac:dyDescent="0.25">
      <c r="A412" s="48">
        <v>76</v>
      </c>
      <c r="B412" s="166" t="s">
        <v>807</v>
      </c>
      <c r="C412" s="166" t="s">
        <v>805</v>
      </c>
      <c r="D412" s="150">
        <f t="shared" si="19"/>
        <v>2900</v>
      </c>
      <c r="E412" s="48"/>
      <c r="F412" s="48"/>
      <c r="G412" s="35"/>
      <c r="H412" s="35"/>
      <c r="I412" s="35"/>
      <c r="J412" s="35"/>
      <c r="K412" s="35"/>
      <c r="L412" s="35"/>
      <c r="M412" s="48"/>
      <c r="N412" s="48"/>
      <c r="O412" s="48"/>
      <c r="P412" s="48"/>
      <c r="Q412" s="48"/>
      <c r="R412" s="40"/>
      <c r="S412" s="40"/>
      <c r="T412" s="40"/>
      <c r="U412" s="40"/>
      <c r="V412" s="48"/>
      <c r="W412" s="48"/>
      <c r="X412" s="48"/>
      <c r="Y412" s="48"/>
      <c r="Z412" s="48">
        <v>2900</v>
      </c>
      <c r="AA412" s="48"/>
      <c r="AB412" s="48"/>
      <c r="AC412" s="48"/>
      <c r="AD412" s="48"/>
      <c r="AE412" s="48"/>
      <c r="AF412" s="48"/>
      <c r="AG412" s="48"/>
      <c r="AH412" s="48"/>
      <c r="AI412" s="49"/>
    </row>
    <row r="413" spans="1:35" x14ac:dyDescent="0.25">
      <c r="A413" s="48">
        <v>77</v>
      </c>
      <c r="B413" s="166" t="s">
        <v>808</v>
      </c>
      <c r="C413" s="166" t="s">
        <v>806</v>
      </c>
      <c r="D413" s="150">
        <f t="shared" si="19"/>
        <v>0</v>
      </c>
      <c r="E413" s="48"/>
      <c r="F413" s="48"/>
      <c r="G413" s="35"/>
      <c r="H413" s="35"/>
      <c r="I413" s="35"/>
      <c r="J413" s="35"/>
      <c r="K413" s="35"/>
      <c r="L413" s="35"/>
      <c r="M413" s="48"/>
      <c r="N413" s="48"/>
      <c r="O413" s="48"/>
      <c r="P413" s="48"/>
      <c r="Q413" s="48"/>
      <c r="R413" s="40"/>
      <c r="S413" s="40"/>
      <c r="T413" s="40"/>
      <c r="U413" s="40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9"/>
    </row>
    <row r="414" spans="1:35" x14ac:dyDescent="0.25">
      <c r="A414" s="48">
        <v>78</v>
      </c>
      <c r="B414" s="166" t="s">
        <v>810</v>
      </c>
      <c r="C414" s="166" t="s">
        <v>809</v>
      </c>
      <c r="D414" s="150">
        <f t="shared" si="19"/>
        <v>500</v>
      </c>
      <c r="E414" s="48"/>
      <c r="F414" s="48"/>
      <c r="G414" s="35"/>
      <c r="H414" s="35"/>
      <c r="I414" s="35"/>
      <c r="J414" s="35">
        <v>480</v>
      </c>
      <c r="K414" s="35"/>
      <c r="L414" s="35"/>
      <c r="M414" s="48">
        <v>20</v>
      </c>
      <c r="N414" s="48"/>
      <c r="O414" s="48"/>
      <c r="P414" s="48"/>
      <c r="Q414" s="48"/>
      <c r="R414" s="40"/>
      <c r="S414" s="40"/>
      <c r="T414" s="40"/>
      <c r="U414" s="40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9"/>
    </row>
    <row r="415" spans="1:35" x14ac:dyDescent="0.25">
      <c r="A415" s="48">
        <v>79</v>
      </c>
      <c r="B415" s="166" t="s">
        <v>343</v>
      </c>
      <c r="C415" s="166" t="s">
        <v>392</v>
      </c>
      <c r="D415" s="150">
        <f t="shared" si="19"/>
        <v>0</v>
      </c>
      <c r="E415" s="48"/>
      <c r="F415" s="48"/>
      <c r="G415" s="35"/>
      <c r="H415" s="35"/>
      <c r="I415" s="35"/>
      <c r="J415" s="35"/>
      <c r="K415" s="35"/>
      <c r="L415" s="35"/>
      <c r="M415" s="48"/>
      <c r="N415" s="48"/>
      <c r="O415" s="48"/>
      <c r="P415" s="48"/>
      <c r="Q415" s="48"/>
      <c r="R415" s="40"/>
      <c r="S415" s="40"/>
      <c r="T415" s="40"/>
      <c r="U415" s="40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9"/>
    </row>
    <row r="416" spans="1:35" x14ac:dyDescent="0.25">
      <c r="A416" s="48">
        <v>80</v>
      </c>
      <c r="B416" s="166" t="s">
        <v>393</v>
      </c>
      <c r="C416" s="166" t="s">
        <v>395</v>
      </c>
      <c r="D416" s="150">
        <f t="shared" si="19"/>
        <v>800</v>
      </c>
      <c r="E416" s="48"/>
      <c r="F416" s="48"/>
      <c r="G416" s="35"/>
      <c r="H416" s="35"/>
      <c r="I416" s="35"/>
      <c r="J416" s="35"/>
      <c r="K416" s="35"/>
      <c r="L416" s="35"/>
      <c r="M416" s="48">
        <v>800</v>
      </c>
      <c r="N416" s="48"/>
      <c r="O416" s="48"/>
      <c r="P416" s="48"/>
      <c r="Q416" s="48"/>
      <c r="R416" s="40"/>
      <c r="S416" s="40"/>
      <c r="T416" s="40"/>
      <c r="U416" s="40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9"/>
    </row>
    <row r="417" spans="1:35" x14ac:dyDescent="0.25">
      <c r="A417" s="48">
        <v>81</v>
      </c>
      <c r="B417" s="166" t="s">
        <v>394</v>
      </c>
      <c r="C417" s="166" t="s">
        <v>396</v>
      </c>
      <c r="D417" s="150">
        <f t="shared" si="19"/>
        <v>0</v>
      </c>
      <c r="E417" s="48"/>
      <c r="F417" s="48"/>
      <c r="G417" s="35"/>
      <c r="H417" s="35"/>
      <c r="I417" s="35"/>
      <c r="J417" s="35"/>
      <c r="K417" s="35"/>
      <c r="L417" s="35"/>
      <c r="M417" s="48"/>
      <c r="N417" s="48"/>
      <c r="O417" s="48"/>
      <c r="P417" s="48"/>
      <c r="Q417" s="48"/>
      <c r="R417" s="40"/>
      <c r="S417" s="40"/>
      <c r="T417" s="40"/>
      <c r="U417" s="40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9"/>
    </row>
    <row r="418" spans="1:35" x14ac:dyDescent="0.25">
      <c r="A418" s="48">
        <v>82</v>
      </c>
      <c r="B418" s="166" t="s">
        <v>658</v>
      </c>
      <c r="C418" s="166" t="s">
        <v>657</v>
      </c>
      <c r="D418" s="150">
        <f t="shared" si="19"/>
        <v>500</v>
      </c>
      <c r="E418" s="48"/>
      <c r="F418" s="48"/>
      <c r="G418" s="35"/>
      <c r="H418" s="35"/>
      <c r="I418" s="35"/>
      <c r="J418" s="35"/>
      <c r="K418" s="35"/>
      <c r="L418" s="35"/>
      <c r="M418" s="48"/>
      <c r="N418" s="48"/>
      <c r="O418" s="48"/>
      <c r="P418" s="48"/>
      <c r="Q418" s="48"/>
      <c r="R418" s="40"/>
      <c r="S418" s="40"/>
      <c r="T418" s="40"/>
      <c r="U418" s="40"/>
      <c r="V418" s="48"/>
      <c r="W418" s="48"/>
      <c r="X418" s="48"/>
      <c r="Y418" s="48"/>
      <c r="Z418" s="48">
        <v>500</v>
      </c>
      <c r="AA418" s="48"/>
      <c r="AB418" s="48"/>
      <c r="AC418" s="48"/>
      <c r="AD418" s="48"/>
      <c r="AE418" s="48"/>
      <c r="AF418" s="48"/>
      <c r="AG418" s="48"/>
      <c r="AH418" s="48"/>
      <c r="AI418" s="49"/>
    </row>
    <row r="419" spans="1:35" x14ac:dyDescent="0.25">
      <c r="A419" s="48">
        <v>83</v>
      </c>
      <c r="B419" s="166" t="s">
        <v>211</v>
      </c>
      <c r="C419" s="166" t="s">
        <v>213</v>
      </c>
      <c r="D419" s="150">
        <f t="shared" si="19"/>
        <v>0</v>
      </c>
      <c r="E419" s="48"/>
      <c r="F419" s="48"/>
      <c r="G419" s="35"/>
      <c r="H419" s="35"/>
      <c r="I419" s="35"/>
      <c r="J419" s="35"/>
      <c r="K419" s="35"/>
      <c r="L419" s="35"/>
      <c r="M419" s="48"/>
      <c r="N419" s="48"/>
      <c r="O419" s="48"/>
      <c r="P419" s="48"/>
      <c r="Q419" s="48"/>
      <c r="R419" s="40"/>
      <c r="S419" s="40"/>
      <c r="T419" s="40"/>
      <c r="U419" s="40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9"/>
    </row>
    <row r="420" spans="1:35" x14ac:dyDescent="0.25">
      <c r="A420" s="48">
        <v>84</v>
      </c>
      <c r="B420" s="166" t="s">
        <v>212</v>
      </c>
      <c r="C420" s="166" t="s">
        <v>214</v>
      </c>
      <c r="D420" s="150">
        <f t="shared" si="19"/>
        <v>0</v>
      </c>
      <c r="E420" s="48"/>
      <c r="F420" s="48"/>
      <c r="G420" s="35"/>
      <c r="H420" s="35"/>
      <c r="I420" s="35"/>
      <c r="J420" s="35"/>
      <c r="K420" s="35"/>
      <c r="L420" s="35"/>
      <c r="M420" s="48"/>
      <c r="N420" s="48"/>
      <c r="O420" s="48"/>
      <c r="P420" s="48"/>
      <c r="Q420" s="48"/>
      <c r="R420" s="40"/>
      <c r="S420" s="40"/>
      <c r="T420" s="40"/>
      <c r="U420" s="40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9"/>
    </row>
    <row r="421" spans="1:35" x14ac:dyDescent="0.25">
      <c r="A421" s="48">
        <v>85</v>
      </c>
      <c r="B421" s="166" t="s">
        <v>373</v>
      </c>
      <c r="C421" s="166" t="s">
        <v>371</v>
      </c>
      <c r="D421" s="150">
        <f t="shared" si="19"/>
        <v>1200</v>
      </c>
      <c r="E421" s="48"/>
      <c r="F421" s="48"/>
      <c r="G421" s="35"/>
      <c r="H421" s="35"/>
      <c r="I421" s="35"/>
      <c r="J421" s="35"/>
      <c r="K421" s="35"/>
      <c r="L421" s="35"/>
      <c r="M421" s="48"/>
      <c r="N421" s="48"/>
      <c r="O421" s="48"/>
      <c r="P421" s="48"/>
      <c r="Q421" s="48"/>
      <c r="R421" s="40"/>
      <c r="S421" s="40"/>
      <c r="T421" s="40"/>
      <c r="U421" s="40"/>
      <c r="V421" s="48"/>
      <c r="W421" s="48"/>
      <c r="X421" s="48"/>
      <c r="Y421" s="48"/>
      <c r="Z421" s="48"/>
      <c r="AA421" s="48"/>
      <c r="AB421" s="48"/>
      <c r="AC421" s="48">
        <v>1200</v>
      </c>
      <c r="AD421" s="48"/>
      <c r="AE421" s="48"/>
      <c r="AF421" s="48"/>
      <c r="AG421" s="48"/>
      <c r="AH421" s="48"/>
      <c r="AI421" s="49"/>
    </row>
    <row r="422" spans="1:35" x14ac:dyDescent="0.25">
      <c r="A422" s="48">
        <v>86</v>
      </c>
      <c r="B422" s="166" t="s">
        <v>374</v>
      </c>
      <c r="C422" s="166" t="s">
        <v>372</v>
      </c>
      <c r="D422" s="150">
        <f t="shared" si="19"/>
        <v>0</v>
      </c>
      <c r="E422" s="48"/>
      <c r="F422" s="48"/>
      <c r="G422" s="35"/>
      <c r="H422" s="35"/>
      <c r="I422" s="35"/>
      <c r="J422" s="35"/>
      <c r="K422" s="35"/>
      <c r="L422" s="35"/>
      <c r="M422" s="48"/>
      <c r="N422" s="48"/>
      <c r="O422" s="48"/>
      <c r="P422" s="48"/>
      <c r="Q422" s="48"/>
      <c r="R422" s="40"/>
      <c r="S422" s="40"/>
      <c r="T422" s="40"/>
      <c r="U422" s="40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9"/>
    </row>
    <row r="423" spans="1:35" x14ac:dyDescent="0.25">
      <c r="A423" s="48">
        <v>87</v>
      </c>
      <c r="B423" s="166" t="s">
        <v>298</v>
      </c>
      <c r="C423" s="166" t="s">
        <v>297</v>
      </c>
      <c r="D423" s="150">
        <f t="shared" si="19"/>
        <v>0</v>
      </c>
      <c r="E423" s="48"/>
      <c r="F423" s="48"/>
      <c r="G423" s="35"/>
      <c r="H423" s="35"/>
      <c r="I423" s="35"/>
      <c r="J423" s="35"/>
      <c r="K423" s="35"/>
      <c r="L423" s="35"/>
      <c r="M423" s="48"/>
      <c r="N423" s="48"/>
      <c r="O423" s="48"/>
      <c r="P423" s="48"/>
      <c r="Q423" s="48"/>
      <c r="R423" s="40"/>
      <c r="S423" s="40"/>
      <c r="T423" s="40"/>
      <c r="U423" s="40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9"/>
    </row>
    <row r="424" spans="1:35" x14ac:dyDescent="0.25">
      <c r="A424" s="48">
        <v>88</v>
      </c>
      <c r="B424" s="166" t="s">
        <v>346</v>
      </c>
      <c r="C424" s="166" t="s">
        <v>344</v>
      </c>
      <c r="D424" s="150">
        <f t="shared" si="19"/>
        <v>70530</v>
      </c>
      <c r="E424" s="48"/>
      <c r="F424" s="48"/>
      <c r="G424" s="35"/>
      <c r="H424" s="35"/>
      <c r="I424" s="35"/>
      <c r="J424" s="35"/>
      <c r="K424" s="35"/>
      <c r="L424" s="35"/>
      <c r="M424" s="48">
        <v>21000</v>
      </c>
      <c r="N424" s="48">
        <v>16920</v>
      </c>
      <c r="O424" s="48">
        <v>3610</v>
      </c>
      <c r="P424" s="48"/>
      <c r="Q424" s="48">
        <v>5400</v>
      </c>
      <c r="R424" s="40"/>
      <c r="S424" s="40"/>
      <c r="T424" s="40"/>
      <c r="U424" s="40">
        <v>4600</v>
      </c>
      <c r="V424" s="48"/>
      <c r="W424" s="48"/>
      <c r="X424" s="48"/>
      <c r="Y424" s="48"/>
      <c r="Z424" s="48"/>
      <c r="AA424" s="48">
        <v>2700</v>
      </c>
      <c r="AB424" s="48">
        <v>4300</v>
      </c>
      <c r="AC424" s="48"/>
      <c r="AD424" s="48"/>
      <c r="AE424" s="48"/>
      <c r="AF424" s="48"/>
      <c r="AG424" s="48"/>
      <c r="AH424" s="48"/>
      <c r="AI424" s="49">
        <v>12000</v>
      </c>
    </row>
    <row r="425" spans="1:35" x14ac:dyDescent="0.25">
      <c r="A425" s="48">
        <v>89</v>
      </c>
      <c r="B425" s="166" t="s">
        <v>347</v>
      </c>
      <c r="C425" s="166" t="s">
        <v>345</v>
      </c>
      <c r="D425" s="150">
        <f t="shared" si="19"/>
        <v>0</v>
      </c>
      <c r="E425" s="48"/>
      <c r="F425" s="48"/>
      <c r="G425" s="35"/>
      <c r="H425" s="35"/>
      <c r="I425" s="35"/>
      <c r="J425" s="35"/>
      <c r="K425" s="35"/>
      <c r="L425" s="35"/>
      <c r="M425" s="48"/>
      <c r="N425" s="48"/>
      <c r="O425" s="48"/>
      <c r="P425" s="48"/>
      <c r="Q425" s="48"/>
      <c r="R425" s="40"/>
      <c r="S425" s="40"/>
      <c r="T425" s="40"/>
      <c r="U425" s="40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9"/>
    </row>
    <row r="426" spans="1:35" x14ac:dyDescent="0.25">
      <c r="A426" s="48">
        <v>90</v>
      </c>
      <c r="B426" s="166" t="s">
        <v>357</v>
      </c>
      <c r="C426" s="166" t="s">
        <v>355</v>
      </c>
      <c r="D426" s="150">
        <f t="shared" si="19"/>
        <v>12230</v>
      </c>
      <c r="E426" s="48"/>
      <c r="F426" s="48"/>
      <c r="G426" s="35"/>
      <c r="H426" s="35"/>
      <c r="I426" s="35"/>
      <c r="J426" s="35"/>
      <c r="K426" s="35"/>
      <c r="L426" s="35"/>
      <c r="M426" s="48"/>
      <c r="N426" s="48"/>
      <c r="O426" s="48"/>
      <c r="P426" s="48"/>
      <c r="Q426" s="48"/>
      <c r="R426" s="40"/>
      <c r="S426" s="40"/>
      <c r="T426" s="40"/>
      <c r="U426" s="40"/>
      <c r="V426" s="48"/>
      <c r="W426" s="48"/>
      <c r="X426" s="48"/>
      <c r="Y426" s="48"/>
      <c r="Z426" s="48">
        <v>12230</v>
      </c>
      <c r="AA426" s="48"/>
      <c r="AB426" s="48"/>
      <c r="AC426" s="48"/>
      <c r="AD426" s="48"/>
      <c r="AE426" s="48"/>
      <c r="AF426" s="48"/>
      <c r="AG426" s="48"/>
      <c r="AH426" s="48"/>
      <c r="AI426" s="49"/>
    </row>
    <row r="427" spans="1:35" x14ac:dyDescent="0.25">
      <c r="A427" s="48">
        <v>91</v>
      </c>
      <c r="B427" s="166" t="s">
        <v>358</v>
      </c>
      <c r="C427" s="166" t="s">
        <v>356</v>
      </c>
      <c r="D427" s="150">
        <f t="shared" si="19"/>
        <v>0</v>
      </c>
      <c r="E427" s="48"/>
      <c r="F427" s="48"/>
      <c r="G427" s="35"/>
      <c r="H427" s="35"/>
      <c r="I427" s="35"/>
      <c r="J427" s="35"/>
      <c r="K427" s="35"/>
      <c r="L427" s="35"/>
      <c r="M427" s="48"/>
      <c r="N427" s="48"/>
      <c r="O427" s="48"/>
      <c r="P427" s="48"/>
      <c r="Q427" s="48"/>
      <c r="R427" s="40"/>
      <c r="S427" s="40"/>
      <c r="T427" s="40"/>
      <c r="U427" s="40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9"/>
    </row>
    <row r="428" spans="1:35" x14ac:dyDescent="0.25">
      <c r="A428" s="48">
        <v>92</v>
      </c>
      <c r="B428" s="166" t="s">
        <v>359</v>
      </c>
      <c r="C428" s="166" t="s">
        <v>360</v>
      </c>
      <c r="D428" s="150">
        <f t="shared" si="19"/>
        <v>56000</v>
      </c>
      <c r="E428" s="48"/>
      <c r="F428" s="48"/>
      <c r="G428" s="35"/>
      <c r="H428" s="35"/>
      <c r="I428" s="35"/>
      <c r="J428" s="35">
        <v>30000</v>
      </c>
      <c r="K428" s="35">
        <v>26000</v>
      </c>
      <c r="L428" s="35"/>
      <c r="M428" s="48"/>
      <c r="N428" s="48"/>
      <c r="O428" s="48"/>
      <c r="P428" s="48"/>
      <c r="Q428" s="48"/>
      <c r="R428" s="40"/>
      <c r="S428" s="40"/>
      <c r="T428" s="40"/>
      <c r="U428" s="40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9"/>
    </row>
    <row r="429" spans="1:35" x14ac:dyDescent="0.25">
      <c r="A429" s="48">
        <v>93</v>
      </c>
      <c r="B429" s="171" t="s">
        <v>485</v>
      </c>
      <c r="C429" s="171" t="s">
        <v>484</v>
      </c>
      <c r="D429" s="150">
        <f t="shared" si="19"/>
        <v>0</v>
      </c>
      <c r="E429" s="48"/>
      <c r="F429" s="48"/>
      <c r="G429" s="35"/>
      <c r="H429" s="35"/>
      <c r="I429" s="35"/>
      <c r="J429" s="35"/>
      <c r="K429" s="35"/>
      <c r="L429" s="35"/>
      <c r="M429" s="48"/>
      <c r="N429" s="48"/>
      <c r="O429" s="48"/>
      <c r="P429" s="48"/>
      <c r="Q429" s="48"/>
      <c r="R429" s="40"/>
      <c r="S429" s="40"/>
      <c r="T429" s="40"/>
      <c r="U429" s="40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9"/>
    </row>
    <row r="430" spans="1:35" x14ac:dyDescent="0.25">
      <c r="A430" s="48">
        <v>94</v>
      </c>
      <c r="B430" s="171" t="s">
        <v>487</v>
      </c>
      <c r="C430" s="171" t="s">
        <v>486</v>
      </c>
      <c r="D430" s="150">
        <f t="shared" si="19"/>
        <v>410</v>
      </c>
      <c r="E430" s="48"/>
      <c r="F430" s="48"/>
      <c r="G430" s="35"/>
      <c r="H430" s="35"/>
      <c r="I430" s="35"/>
      <c r="J430" s="35"/>
      <c r="K430" s="35"/>
      <c r="L430" s="35"/>
      <c r="M430" s="48"/>
      <c r="N430" s="48"/>
      <c r="O430" s="48"/>
      <c r="P430" s="48"/>
      <c r="Q430" s="48"/>
      <c r="R430" s="40"/>
      <c r="S430" s="40"/>
      <c r="T430" s="40"/>
      <c r="U430" s="40"/>
      <c r="V430" s="48"/>
      <c r="W430" s="48"/>
      <c r="X430" s="48"/>
      <c r="Y430" s="48"/>
      <c r="Z430" s="48"/>
      <c r="AA430" s="48">
        <v>410</v>
      </c>
      <c r="AB430" s="48"/>
      <c r="AC430" s="48"/>
      <c r="AD430" s="48"/>
      <c r="AE430" s="48"/>
      <c r="AF430" s="48"/>
      <c r="AG430" s="48"/>
      <c r="AH430" s="48"/>
      <c r="AI430" s="49"/>
    </row>
    <row r="431" spans="1:35" x14ac:dyDescent="0.25">
      <c r="A431" s="48">
        <v>95</v>
      </c>
      <c r="B431" s="171" t="s">
        <v>489</v>
      </c>
      <c r="C431" s="171" t="s">
        <v>488</v>
      </c>
      <c r="D431" s="150">
        <f t="shared" si="19"/>
        <v>1300</v>
      </c>
      <c r="E431" s="48"/>
      <c r="F431" s="48"/>
      <c r="G431" s="35"/>
      <c r="H431" s="35"/>
      <c r="I431" s="35"/>
      <c r="J431" s="35"/>
      <c r="K431" s="35"/>
      <c r="L431" s="35"/>
      <c r="M431" s="48"/>
      <c r="N431" s="48"/>
      <c r="O431" s="48">
        <v>1300</v>
      </c>
      <c r="P431" s="48"/>
      <c r="Q431" s="48"/>
      <c r="R431" s="40"/>
      <c r="S431" s="40"/>
      <c r="T431" s="40"/>
      <c r="U431" s="40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9"/>
    </row>
    <row r="432" spans="1:35" x14ac:dyDescent="0.25">
      <c r="A432" s="48">
        <v>96</v>
      </c>
      <c r="B432" s="166" t="s">
        <v>159</v>
      </c>
      <c r="C432" s="166" t="s">
        <v>115</v>
      </c>
      <c r="D432" s="150">
        <f t="shared" si="19"/>
        <v>180000</v>
      </c>
      <c r="E432" s="48"/>
      <c r="F432" s="48"/>
      <c r="G432" s="35"/>
      <c r="H432" s="35">
        <v>30000</v>
      </c>
      <c r="I432" s="35">
        <v>20000</v>
      </c>
      <c r="J432" s="35">
        <v>50000</v>
      </c>
      <c r="K432" s="35"/>
      <c r="L432" s="35"/>
      <c r="M432" s="48">
        <v>28530</v>
      </c>
      <c r="N432" s="48"/>
      <c r="O432" s="48"/>
      <c r="P432" s="48"/>
      <c r="Q432" s="48"/>
      <c r="R432" s="40"/>
      <c r="S432" s="40"/>
      <c r="T432" s="40"/>
      <c r="U432" s="40">
        <v>51470</v>
      </c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9"/>
    </row>
    <row r="433" spans="1:35" x14ac:dyDescent="0.25">
      <c r="A433" s="48">
        <v>97</v>
      </c>
      <c r="B433" s="166" t="s">
        <v>314</v>
      </c>
      <c r="C433" s="166" t="s">
        <v>313</v>
      </c>
      <c r="D433" s="150">
        <f t="shared" ref="D433:D464" si="20">SUM(E433:AI433)</f>
        <v>0</v>
      </c>
      <c r="E433" s="48"/>
      <c r="F433" s="48"/>
      <c r="G433" s="35"/>
      <c r="H433" s="35"/>
      <c r="I433" s="35"/>
      <c r="J433" s="35"/>
      <c r="K433" s="35"/>
      <c r="L433" s="35"/>
      <c r="M433" s="48"/>
      <c r="N433" s="48"/>
      <c r="O433" s="48"/>
      <c r="P433" s="48"/>
      <c r="Q433" s="48"/>
      <c r="R433" s="40"/>
      <c r="S433" s="40"/>
      <c r="T433" s="40"/>
      <c r="U433" s="40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9"/>
    </row>
    <row r="434" spans="1:35" x14ac:dyDescent="0.25">
      <c r="A434" s="48">
        <v>98</v>
      </c>
      <c r="B434" s="166" t="s">
        <v>160</v>
      </c>
      <c r="C434" s="166" t="s">
        <v>116</v>
      </c>
      <c r="D434" s="150">
        <f t="shared" si="20"/>
        <v>0</v>
      </c>
      <c r="E434" s="48"/>
      <c r="F434" s="48"/>
      <c r="G434" s="35"/>
      <c r="H434" s="35"/>
      <c r="I434" s="35"/>
      <c r="J434" s="35"/>
      <c r="K434" s="35"/>
      <c r="L434" s="35"/>
      <c r="M434" s="48"/>
      <c r="N434" s="48"/>
      <c r="O434" s="48"/>
      <c r="P434" s="48"/>
      <c r="Q434" s="48"/>
      <c r="R434" s="40"/>
      <c r="S434" s="40"/>
      <c r="T434" s="40"/>
      <c r="U434" s="40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9"/>
    </row>
    <row r="435" spans="1:35" x14ac:dyDescent="0.25">
      <c r="A435" s="48">
        <v>99</v>
      </c>
      <c r="B435" s="166" t="s">
        <v>161</v>
      </c>
      <c r="C435" s="166" t="s">
        <v>117</v>
      </c>
      <c r="D435" s="150">
        <f t="shared" si="20"/>
        <v>0</v>
      </c>
      <c r="E435" s="48"/>
      <c r="F435" s="48"/>
      <c r="G435" s="35"/>
      <c r="H435" s="35"/>
      <c r="I435" s="35"/>
      <c r="J435" s="35"/>
      <c r="K435" s="35"/>
      <c r="L435" s="35"/>
      <c r="M435" s="48"/>
      <c r="N435" s="48"/>
      <c r="O435" s="48"/>
      <c r="P435" s="48"/>
      <c r="Q435" s="48"/>
      <c r="R435" s="40"/>
      <c r="S435" s="40"/>
      <c r="T435" s="40"/>
      <c r="U435" s="40"/>
      <c r="V435" s="48"/>
      <c r="W435" s="48"/>
      <c r="X435" s="48"/>
      <c r="Y435" s="48"/>
      <c r="Z435" s="48"/>
      <c r="AA435" s="156"/>
      <c r="AB435" s="48"/>
      <c r="AC435" s="48"/>
      <c r="AD435" s="48"/>
      <c r="AE435" s="48"/>
      <c r="AF435" s="48"/>
      <c r="AG435" s="48"/>
      <c r="AH435" s="48"/>
      <c r="AI435" s="49"/>
    </row>
    <row r="436" spans="1:35" x14ac:dyDescent="0.25">
      <c r="A436" s="48">
        <v>100</v>
      </c>
      <c r="B436" s="166" t="s">
        <v>244</v>
      </c>
      <c r="C436" s="166" t="s">
        <v>243</v>
      </c>
      <c r="D436" s="150">
        <f t="shared" si="20"/>
        <v>720</v>
      </c>
      <c r="E436" s="48"/>
      <c r="F436" s="48"/>
      <c r="G436" s="35"/>
      <c r="H436" s="35"/>
      <c r="I436" s="35"/>
      <c r="J436" s="35">
        <v>720</v>
      </c>
      <c r="K436" s="35"/>
      <c r="L436" s="35"/>
      <c r="M436" s="48"/>
      <c r="N436" s="48"/>
      <c r="O436" s="48"/>
      <c r="P436" s="48"/>
      <c r="Q436" s="48"/>
      <c r="R436" s="40"/>
      <c r="S436" s="40"/>
      <c r="T436" s="40"/>
      <c r="U436" s="40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9"/>
    </row>
    <row r="437" spans="1:35" x14ac:dyDescent="0.25">
      <c r="A437" s="48">
        <v>101</v>
      </c>
      <c r="B437" s="166" t="s">
        <v>362</v>
      </c>
      <c r="C437" s="166" t="s">
        <v>361</v>
      </c>
      <c r="D437" s="150">
        <f t="shared" si="20"/>
        <v>18900</v>
      </c>
      <c r="E437" s="48"/>
      <c r="F437" s="48"/>
      <c r="G437" s="35"/>
      <c r="H437" s="35"/>
      <c r="I437" s="35"/>
      <c r="J437" s="35"/>
      <c r="K437" s="35"/>
      <c r="L437" s="35"/>
      <c r="M437" s="48"/>
      <c r="N437" s="48"/>
      <c r="O437" s="48"/>
      <c r="P437" s="48"/>
      <c r="Q437" s="48"/>
      <c r="R437" s="40"/>
      <c r="S437" s="40"/>
      <c r="T437" s="40"/>
      <c r="U437" s="40">
        <v>24</v>
      </c>
      <c r="V437" s="48"/>
      <c r="W437" s="48">
        <v>14880</v>
      </c>
      <c r="X437" s="48">
        <v>24</v>
      </c>
      <c r="Y437" s="48"/>
      <c r="Z437" s="48"/>
      <c r="AA437" s="48"/>
      <c r="AB437" s="48">
        <v>3972</v>
      </c>
      <c r="AC437" s="48"/>
      <c r="AD437" s="48"/>
      <c r="AE437" s="48"/>
      <c r="AF437" s="48"/>
      <c r="AG437" s="48"/>
      <c r="AH437" s="48"/>
      <c r="AI437" s="49"/>
    </row>
    <row r="438" spans="1:35" x14ac:dyDescent="0.25">
      <c r="A438" s="48">
        <v>102</v>
      </c>
      <c r="B438" s="166" t="s">
        <v>334</v>
      </c>
      <c r="C438" s="166" t="s">
        <v>333</v>
      </c>
      <c r="D438" s="150">
        <f t="shared" si="20"/>
        <v>18802</v>
      </c>
      <c r="E438" s="48">
        <v>1632</v>
      </c>
      <c r="F438" s="48"/>
      <c r="G438" s="35"/>
      <c r="H438" s="35">
        <v>10008</v>
      </c>
      <c r="I438" s="35"/>
      <c r="J438" s="35">
        <v>7162</v>
      </c>
      <c r="K438" s="35"/>
      <c r="L438" s="35"/>
      <c r="M438" s="48"/>
      <c r="N438" s="48"/>
      <c r="O438" s="48"/>
      <c r="P438" s="48"/>
      <c r="Q438" s="48"/>
      <c r="R438" s="40"/>
      <c r="S438" s="40"/>
      <c r="T438" s="40"/>
      <c r="U438" s="40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9"/>
    </row>
    <row r="439" spans="1:35" x14ac:dyDescent="0.25">
      <c r="A439" s="48">
        <v>103</v>
      </c>
      <c r="B439" s="166" t="s">
        <v>498</v>
      </c>
      <c r="C439" s="166" t="s">
        <v>497</v>
      </c>
      <c r="D439" s="150">
        <f t="shared" si="20"/>
        <v>23000</v>
      </c>
      <c r="E439" s="48"/>
      <c r="F439" s="48"/>
      <c r="G439" s="35"/>
      <c r="H439" s="35"/>
      <c r="I439" s="35"/>
      <c r="J439" s="35"/>
      <c r="K439" s="35"/>
      <c r="L439" s="35"/>
      <c r="M439" s="48"/>
      <c r="N439" s="48"/>
      <c r="O439" s="48"/>
      <c r="P439" s="48"/>
      <c r="Q439" s="48"/>
      <c r="R439" s="40"/>
      <c r="S439" s="40"/>
      <c r="T439" s="40"/>
      <c r="U439" s="40">
        <v>24</v>
      </c>
      <c r="V439" s="48"/>
      <c r="W439" s="48"/>
      <c r="X439" s="48">
        <v>13080</v>
      </c>
      <c r="Y439" s="48"/>
      <c r="Z439" s="48"/>
      <c r="AA439" s="48"/>
      <c r="AB439" s="48">
        <v>8880</v>
      </c>
      <c r="AC439" s="48">
        <v>1016</v>
      </c>
      <c r="AD439" s="48"/>
      <c r="AE439" s="48"/>
      <c r="AF439" s="48"/>
      <c r="AG439" s="48"/>
      <c r="AH439" s="48"/>
      <c r="AI439" s="49"/>
    </row>
    <row r="440" spans="1:35" x14ac:dyDescent="0.25">
      <c r="A440" s="48">
        <v>104</v>
      </c>
      <c r="B440" s="166" t="s">
        <v>500</v>
      </c>
      <c r="C440" s="166" t="s">
        <v>499</v>
      </c>
      <c r="D440" s="150">
        <f t="shared" si="20"/>
        <v>8000</v>
      </c>
      <c r="E440" s="48"/>
      <c r="F440" s="48"/>
      <c r="G440" s="35"/>
      <c r="H440" s="35"/>
      <c r="I440" s="35"/>
      <c r="J440" s="35"/>
      <c r="K440" s="35"/>
      <c r="L440" s="35"/>
      <c r="M440" s="48"/>
      <c r="N440" s="48"/>
      <c r="O440" s="48"/>
      <c r="P440" s="48"/>
      <c r="Q440" s="48"/>
      <c r="R440" s="40"/>
      <c r="S440" s="40"/>
      <c r="T440" s="40"/>
      <c r="U440" s="40"/>
      <c r="V440" s="48"/>
      <c r="W440" s="48"/>
      <c r="X440" s="48"/>
      <c r="Y440" s="48"/>
      <c r="Z440" s="48">
        <v>8000</v>
      </c>
      <c r="AA440" s="48"/>
      <c r="AB440" s="48"/>
      <c r="AC440" s="48"/>
      <c r="AD440" s="48"/>
      <c r="AE440" s="48"/>
      <c r="AF440" s="48"/>
      <c r="AG440" s="48"/>
      <c r="AH440" s="48"/>
      <c r="AI440" s="49"/>
    </row>
    <row r="441" spans="1:35" x14ac:dyDescent="0.25">
      <c r="A441" s="48">
        <v>105</v>
      </c>
      <c r="B441" s="166" t="s">
        <v>503</v>
      </c>
      <c r="C441" s="166" t="s">
        <v>501</v>
      </c>
      <c r="D441" s="150">
        <f t="shared" si="20"/>
        <v>0</v>
      </c>
      <c r="E441" s="48"/>
      <c r="F441" s="48"/>
      <c r="G441" s="35"/>
      <c r="H441" s="35"/>
      <c r="I441" s="35"/>
      <c r="J441" s="35"/>
      <c r="K441" s="35"/>
      <c r="L441" s="35"/>
      <c r="M441" s="48"/>
      <c r="N441" s="48"/>
      <c r="O441" s="48"/>
      <c r="P441" s="48"/>
      <c r="Q441" s="48"/>
      <c r="R441" s="40"/>
      <c r="S441" s="40"/>
      <c r="T441" s="40"/>
      <c r="U441" s="40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9"/>
    </row>
    <row r="442" spans="1:35" x14ac:dyDescent="0.25">
      <c r="A442" s="48">
        <v>106</v>
      </c>
      <c r="B442" s="166" t="s">
        <v>504</v>
      </c>
      <c r="C442" s="166" t="s">
        <v>502</v>
      </c>
      <c r="D442" s="150">
        <f t="shared" si="20"/>
        <v>0</v>
      </c>
      <c r="E442" s="48"/>
      <c r="F442" s="48"/>
      <c r="G442" s="35"/>
      <c r="H442" s="35"/>
      <c r="I442" s="35"/>
      <c r="J442" s="35"/>
      <c r="K442" s="35"/>
      <c r="L442" s="35"/>
      <c r="M442" s="48"/>
      <c r="N442" s="48"/>
      <c r="O442" s="48"/>
      <c r="P442" s="48"/>
      <c r="Q442" s="48"/>
      <c r="R442" s="40"/>
      <c r="S442" s="40"/>
      <c r="T442" s="40"/>
      <c r="U442" s="40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9"/>
    </row>
    <row r="443" spans="1:35" x14ac:dyDescent="0.25">
      <c r="A443" s="48">
        <v>107</v>
      </c>
      <c r="B443" s="166" t="s">
        <v>506</v>
      </c>
      <c r="C443" s="166" t="s">
        <v>505</v>
      </c>
      <c r="D443" s="150">
        <f t="shared" si="20"/>
        <v>5300</v>
      </c>
      <c r="E443" s="48"/>
      <c r="F443" s="48"/>
      <c r="G443" s="35"/>
      <c r="H443" s="35"/>
      <c r="I443" s="35"/>
      <c r="J443" s="35"/>
      <c r="K443" s="35">
        <v>2400</v>
      </c>
      <c r="L443" s="35">
        <v>2886</v>
      </c>
      <c r="M443" s="48"/>
      <c r="N443" s="48">
        <v>14</v>
      </c>
      <c r="O443" s="48"/>
      <c r="P443" s="48"/>
      <c r="Q443" s="48"/>
      <c r="R443" s="40"/>
      <c r="S443" s="40"/>
      <c r="T443" s="40"/>
      <c r="U443" s="40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9"/>
    </row>
    <row r="444" spans="1:35" x14ac:dyDescent="0.25">
      <c r="A444" s="48">
        <v>108</v>
      </c>
      <c r="B444" s="166" t="s">
        <v>252</v>
      </c>
      <c r="C444" s="166" t="s">
        <v>251</v>
      </c>
      <c r="D444" s="150">
        <f t="shared" si="20"/>
        <v>34000</v>
      </c>
      <c r="E444" s="48"/>
      <c r="F444" s="48"/>
      <c r="G444" s="35"/>
      <c r="H444" s="35"/>
      <c r="I444" s="35"/>
      <c r="J444" s="35"/>
      <c r="K444" s="35"/>
      <c r="L444" s="35"/>
      <c r="M444" s="48"/>
      <c r="N444" s="48"/>
      <c r="O444" s="48"/>
      <c r="P444" s="48"/>
      <c r="Q444" s="48"/>
      <c r="R444" s="40"/>
      <c r="S444" s="40"/>
      <c r="T444" s="40"/>
      <c r="U444" s="40">
        <v>6516</v>
      </c>
      <c r="V444" s="48">
        <v>15156</v>
      </c>
      <c r="W444" s="48">
        <v>11952</v>
      </c>
      <c r="X444" s="48">
        <v>376</v>
      </c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9"/>
    </row>
    <row r="445" spans="1:35" x14ac:dyDescent="0.25">
      <c r="A445" s="48">
        <v>109</v>
      </c>
      <c r="B445" s="166" t="s">
        <v>450</v>
      </c>
      <c r="C445" s="166" t="s">
        <v>453</v>
      </c>
      <c r="D445" s="150">
        <f t="shared" si="20"/>
        <v>0</v>
      </c>
      <c r="E445" s="48"/>
      <c r="F445" s="48"/>
      <c r="G445" s="35"/>
      <c r="H445" s="35"/>
      <c r="I445" s="35"/>
      <c r="J445" s="35"/>
      <c r="K445" s="35"/>
      <c r="L445" s="35"/>
      <c r="M445" s="48"/>
      <c r="N445" s="48"/>
      <c r="O445" s="48"/>
      <c r="P445" s="48"/>
      <c r="Q445" s="48"/>
      <c r="R445" s="40"/>
      <c r="S445" s="40"/>
      <c r="T445" s="40"/>
      <c r="U445" s="40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9"/>
    </row>
    <row r="446" spans="1:35" x14ac:dyDescent="0.25">
      <c r="A446" s="48">
        <v>110</v>
      </c>
      <c r="B446" s="166" t="s">
        <v>451</v>
      </c>
      <c r="C446" s="166" t="s">
        <v>454</v>
      </c>
      <c r="D446" s="150">
        <f t="shared" si="20"/>
        <v>0</v>
      </c>
      <c r="E446" s="48"/>
      <c r="F446" s="48"/>
      <c r="G446" s="35"/>
      <c r="H446" s="35"/>
      <c r="I446" s="35"/>
      <c r="J446" s="35"/>
      <c r="K446" s="35"/>
      <c r="L446" s="35"/>
      <c r="M446" s="48"/>
      <c r="N446" s="48"/>
      <c r="O446" s="48"/>
      <c r="P446" s="48"/>
      <c r="Q446" s="48"/>
      <c r="R446" s="40"/>
      <c r="S446" s="40"/>
      <c r="T446" s="40"/>
      <c r="U446" s="40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9"/>
    </row>
    <row r="447" spans="1:35" x14ac:dyDescent="0.25">
      <c r="A447" s="48">
        <v>111</v>
      </c>
      <c r="B447" s="166" t="s">
        <v>452</v>
      </c>
      <c r="C447" s="166" t="s">
        <v>455</v>
      </c>
      <c r="D447" s="150">
        <f t="shared" si="20"/>
        <v>0</v>
      </c>
      <c r="E447" s="48"/>
      <c r="F447" s="48"/>
      <c r="G447" s="35"/>
      <c r="H447" s="35"/>
      <c r="I447" s="35"/>
      <c r="J447" s="35"/>
      <c r="K447" s="35"/>
      <c r="L447" s="35"/>
      <c r="M447" s="48"/>
      <c r="N447" s="48"/>
      <c r="O447" s="48"/>
      <c r="P447" s="48"/>
      <c r="Q447" s="48"/>
      <c r="R447" s="40"/>
      <c r="S447" s="40"/>
      <c r="T447" s="40"/>
      <c r="U447" s="40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9"/>
    </row>
    <row r="448" spans="1:35" x14ac:dyDescent="0.25">
      <c r="A448" s="48">
        <v>112</v>
      </c>
      <c r="B448" s="166" t="s">
        <v>456</v>
      </c>
      <c r="C448" s="166" t="s">
        <v>457</v>
      </c>
      <c r="D448" s="150">
        <f t="shared" si="20"/>
        <v>648000</v>
      </c>
      <c r="E448" s="48"/>
      <c r="F448" s="48"/>
      <c r="G448" s="35"/>
      <c r="H448" s="35"/>
      <c r="I448" s="35"/>
      <c r="J448" s="35"/>
      <c r="K448" s="35"/>
      <c r="L448" s="35">
        <v>36498</v>
      </c>
      <c r="M448" s="48">
        <v>111342</v>
      </c>
      <c r="N448" s="48">
        <v>95676</v>
      </c>
      <c r="O448" s="48">
        <v>95130</v>
      </c>
      <c r="P448" s="48">
        <v>45234</v>
      </c>
      <c r="Q448" s="48">
        <v>4494</v>
      </c>
      <c r="R448" s="40"/>
      <c r="S448" s="40"/>
      <c r="T448" s="40"/>
      <c r="U448" s="40">
        <v>9282</v>
      </c>
      <c r="V448" s="48"/>
      <c r="W448" s="48"/>
      <c r="X448" s="48"/>
      <c r="Y448" s="48">
        <v>1638</v>
      </c>
      <c r="Z448" s="48"/>
      <c r="AA448" s="48">
        <v>706</v>
      </c>
      <c r="AB448" s="48"/>
      <c r="AC448" s="48">
        <v>25000</v>
      </c>
      <c r="AD448" s="48">
        <v>85430</v>
      </c>
      <c r="AE448" s="48">
        <v>69590</v>
      </c>
      <c r="AF448" s="48">
        <v>67980</v>
      </c>
      <c r="AG448" s="48"/>
      <c r="AH448" s="48"/>
      <c r="AI448" s="49"/>
    </row>
    <row r="449" spans="1:35" x14ac:dyDescent="0.25">
      <c r="A449" s="48">
        <v>113</v>
      </c>
      <c r="B449" s="166" t="s">
        <v>364</v>
      </c>
      <c r="C449" s="166" t="s">
        <v>363</v>
      </c>
      <c r="D449" s="150">
        <f t="shared" si="20"/>
        <v>12708</v>
      </c>
      <c r="E449" s="48"/>
      <c r="F449" s="48"/>
      <c r="G449" s="35"/>
      <c r="H449" s="35"/>
      <c r="I449" s="35">
        <v>6000</v>
      </c>
      <c r="J449" s="35">
        <v>6708</v>
      </c>
      <c r="K449" s="35"/>
      <c r="L449" s="35"/>
      <c r="M449" s="48"/>
      <c r="N449" s="48"/>
      <c r="O449" s="48"/>
      <c r="P449" s="48"/>
      <c r="Q449" s="48"/>
      <c r="R449" s="40"/>
      <c r="S449" s="40"/>
      <c r="T449" s="40"/>
      <c r="U449" s="40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9"/>
    </row>
    <row r="450" spans="1:35" x14ac:dyDescent="0.25">
      <c r="A450" s="48">
        <v>114</v>
      </c>
      <c r="B450" s="166" t="s">
        <v>493</v>
      </c>
      <c r="C450" s="166" t="s">
        <v>492</v>
      </c>
      <c r="D450" s="150">
        <f t="shared" si="20"/>
        <v>0</v>
      </c>
      <c r="E450" s="48"/>
      <c r="F450" s="48"/>
      <c r="G450" s="35"/>
      <c r="H450" s="35"/>
      <c r="I450" s="35"/>
      <c r="J450" s="35"/>
      <c r="K450" s="35"/>
      <c r="L450" s="35"/>
      <c r="M450" s="48"/>
      <c r="N450" s="48"/>
      <c r="O450" s="48"/>
      <c r="P450" s="48"/>
      <c r="Q450" s="48"/>
      <c r="R450" s="40"/>
      <c r="S450" s="40"/>
      <c r="T450" s="40"/>
      <c r="U450" s="40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9"/>
    </row>
    <row r="451" spans="1:35" x14ac:dyDescent="0.25">
      <c r="A451" s="48">
        <v>115</v>
      </c>
      <c r="B451" s="166" t="s">
        <v>625</v>
      </c>
      <c r="C451" s="166" t="s">
        <v>615</v>
      </c>
      <c r="D451" s="150">
        <f t="shared" si="20"/>
        <v>74000</v>
      </c>
      <c r="E451" s="48"/>
      <c r="F451" s="48"/>
      <c r="G451" s="35"/>
      <c r="H451" s="35"/>
      <c r="I451" s="35"/>
      <c r="J451" s="35"/>
      <c r="K451" s="35">
        <v>15000</v>
      </c>
      <c r="L451" s="35">
        <v>30000</v>
      </c>
      <c r="M451" s="48"/>
      <c r="N451" s="48"/>
      <c r="O451" s="48"/>
      <c r="P451" s="48">
        <v>10000</v>
      </c>
      <c r="Q451" s="48">
        <v>14960</v>
      </c>
      <c r="R451" s="40"/>
      <c r="S451" s="40"/>
      <c r="T451" s="40"/>
      <c r="U451" s="40">
        <v>40</v>
      </c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>
        <v>3000</v>
      </c>
      <c r="AH451" s="48">
        <v>1000</v>
      </c>
      <c r="AI451" s="49"/>
    </row>
    <row r="452" spans="1:35" x14ac:dyDescent="0.25">
      <c r="A452" s="48">
        <v>116</v>
      </c>
      <c r="B452" s="166" t="s">
        <v>626</v>
      </c>
      <c r="C452" s="166" t="s">
        <v>616</v>
      </c>
      <c r="D452" s="150">
        <f t="shared" si="20"/>
        <v>0</v>
      </c>
      <c r="E452" s="48"/>
      <c r="F452" s="48"/>
      <c r="G452" s="35"/>
      <c r="H452" s="35"/>
      <c r="I452" s="35"/>
      <c r="J452" s="35"/>
      <c r="K452" s="35"/>
      <c r="L452" s="35"/>
      <c r="M452" s="48"/>
      <c r="N452" s="48"/>
      <c r="O452" s="48"/>
      <c r="P452" s="48"/>
      <c r="Q452" s="48"/>
      <c r="R452" s="40"/>
      <c r="S452" s="40"/>
      <c r="T452" s="40"/>
      <c r="U452" s="40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9"/>
    </row>
    <row r="453" spans="1:35" x14ac:dyDescent="0.25">
      <c r="A453" s="48">
        <v>117</v>
      </c>
      <c r="B453" s="166" t="s">
        <v>627</v>
      </c>
      <c r="C453" s="166" t="s">
        <v>617</v>
      </c>
      <c r="D453" s="150">
        <f t="shared" si="20"/>
        <v>3500</v>
      </c>
      <c r="E453" s="48"/>
      <c r="F453" s="48"/>
      <c r="G453" s="35"/>
      <c r="H453" s="35">
        <v>3500</v>
      </c>
      <c r="I453" s="35"/>
      <c r="J453" s="35"/>
      <c r="K453" s="35"/>
      <c r="L453" s="35"/>
      <c r="M453" s="48"/>
      <c r="N453" s="48"/>
      <c r="O453" s="48"/>
      <c r="P453" s="48"/>
      <c r="Q453" s="48"/>
      <c r="R453" s="40"/>
      <c r="S453" s="40"/>
      <c r="T453" s="40"/>
      <c r="U453" s="40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9"/>
    </row>
    <row r="454" spans="1:35" x14ac:dyDescent="0.25">
      <c r="A454" s="48">
        <v>118</v>
      </c>
      <c r="B454" s="166" t="s">
        <v>628</v>
      </c>
      <c r="C454" s="166" t="s">
        <v>618</v>
      </c>
      <c r="D454" s="150">
        <f t="shared" si="20"/>
        <v>1000</v>
      </c>
      <c r="E454" s="48"/>
      <c r="F454" s="48"/>
      <c r="G454" s="35"/>
      <c r="H454" s="35"/>
      <c r="I454" s="35"/>
      <c r="J454" s="35"/>
      <c r="K454" s="35"/>
      <c r="L454" s="35"/>
      <c r="M454" s="48"/>
      <c r="N454" s="48"/>
      <c r="O454" s="48"/>
      <c r="P454" s="48"/>
      <c r="Q454" s="48"/>
      <c r="R454" s="40"/>
      <c r="S454" s="40"/>
      <c r="T454" s="40"/>
      <c r="U454" s="40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>
        <v>1000</v>
      </c>
      <c r="AH454" s="48"/>
      <c r="AI454" s="49"/>
    </row>
    <row r="455" spans="1:35" x14ac:dyDescent="0.25">
      <c r="A455" s="48">
        <v>119</v>
      </c>
      <c r="B455" s="166" t="s">
        <v>629</v>
      </c>
      <c r="C455" s="166" t="s">
        <v>619</v>
      </c>
      <c r="D455" s="150">
        <f t="shared" si="20"/>
        <v>1950</v>
      </c>
      <c r="E455" s="48"/>
      <c r="F455" s="48"/>
      <c r="G455" s="35"/>
      <c r="H455" s="35"/>
      <c r="I455" s="35"/>
      <c r="J455" s="35"/>
      <c r="K455" s="35"/>
      <c r="L455" s="35"/>
      <c r="M455" s="48"/>
      <c r="N455" s="48"/>
      <c r="O455" s="48"/>
      <c r="P455" s="48"/>
      <c r="Q455" s="48"/>
      <c r="R455" s="40"/>
      <c r="S455" s="40"/>
      <c r="T455" s="40"/>
      <c r="U455" s="40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>
        <v>1950</v>
      </c>
      <c r="AH455" s="48"/>
      <c r="AI455" s="49"/>
    </row>
    <row r="456" spans="1:35" x14ac:dyDescent="0.25">
      <c r="A456" s="48">
        <v>120</v>
      </c>
      <c r="B456" s="166" t="s">
        <v>630</v>
      </c>
      <c r="C456" s="166" t="s">
        <v>620</v>
      </c>
      <c r="D456" s="150">
        <f t="shared" si="20"/>
        <v>9600</v>
      </c>
      <c r="E456" s="48"/>
      <c r="F456" s="48"/>
      <c r="G456" s="35"/>
      <c r="H456" s="35"/>
      <c r="I456" s="35"/>
      <c r="J456" s="35"/>
      <c r="K456" s="35"/>
      <c r="L456" s="35"/>
      <c r="M456" s="48"/>
      <c r="N456" s="48"/>
      <c r="O456" s="48"/>
      <c r="P456" s="48"/>
      <c r="Q456" s="48"/>
      <c r="R456" s="40"/>
      <c r="S456" s="40"/>
      <c r="T456" s="40"/>
      <c r="U456" s="40">
        <v>4600</v>
      </c>
      <c r="V456" s="48"/>
      <c r="W456" s="48"/>
      <c r="X456" s="48"/>
      <c r="Y456" s="48"/>
      <c r="Z456" s="48"/>
      <c r="AA456" s="48"/>
      <c r="AB456" s="48"/>
      <c r="AC456" s="48"/>
      <c r="AD456" s="48"/>
      <c r="AE456" s="48">
        <v>4200</v>
      </c>
      <c r="AF456" s="48">
        <v>800</v>
      </c>
      <c r="AG456" s="48"/>
      <c r="AH456" s="48"/>
      <c r="AI456" s="49"/>
    </row>
    <row r="457" spans="1:35" x14ac:dyDescent="0.25">
      <c r="A457" s="48">
        <v>121</v>
      </c>
      <c r="B457" s="166" t="s">
        <v>631</v>
      </c>
      <c r="C457" s="166" t="s">
        <v>621</v>
      </c>
      <c r="D457" s="150">
        <f t="shared" si="20"/>
        <v>486</v>
      </c>
      <c r="E457" s="48"/>
      <c r="F457" s="48"/>
      <c r="G457" s="35"/>
      <c r="H457" s="35"/>
      <c r="I457" s="35"/>
      <c r="J457" s="35"/>
      <c r="K457" s="35"/>
      <c r="L457" s="35"/>
      <c r="M457" s="48"/>
      <c r="N457" s="48"/>
      <c r="O457" s="48"/>
      <c r="P457" s="48"/>
      <c r="Q457" s="48"/>
      <c r="R457" s="40"/>
      <c r="S457" s="40"/>
      <c r="T457" s="40"/>
      <c r="U457" s="40"/>
      <c r="V457" s="48"/>
      <c r="W457" s="48"/>
      <c r="X457" s="48">
        <v>486</v>
      </c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9"/>
    </row>
    <row r="458" spans="1:35" x14ac:dyDescent="0.25">
      <c r="A458" s="48">
        <v>122</v>
      </c>
      <c r="B458" s="166" t="s">
        <v>632</v>
      </c>
      <c r="C458" s="166" t="s">
        <v>622</v>
      </c>
      <c r="D458" s="150">
        <f t="shared" si="20"/>
        <v>4000</v>
      </c>
      <c r="E458" s="48"/>
      <c r="F458" s="48"/>
      <c r="G458" s="35"/>
      <c r="H458" s="35"/>
      <c r="I458" s="35"/>
      <c r="J458" s="35"/>
      <c r="K458" s="35"/>
      <c r="L458" s="35"/>
      <c r="M458" s="48"/>
      <c r="N458" s="48"/>
      <c r="O458" s="48"/>
      <c r="P458" s="48">
        <v>1500</v>
      </c>
      <c r="Q458" s="48">
        <v>2500</v>
      </c>
      <c r="R458" s="40"/>
      <c r="S458" s="40"/>
      <c r="T458" s="40"/>
      <c r="U458" s="40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9"/>
    </row>
    <row r="459" spans="1:35" x14ac:dyDescent="0.25">
      <c r="A459" s="48">
        <v>123</v>
      </c>
      <c r="B459" s="166" t="s">
        <v>633</v>
      </c>
      <c r="C459" s="166" t="s">
        <v>623</v>
      </c>
      <c r="D459" s="150">
        <f t="shared" si="20"/>
        <v>31849</v>
      </c>
      <c r="E459" s="48"/>
      <c r="F459" s="48"/>
      <c r="G459" s="35">
        <v>9960</v>
      </c>
      <c r="H459" s="35">
        <v>40</v>
      </c>
      <c r="I459" s="35">
        <v>12852</v>
      </c>
      <c r="J459" s="35">
        <v>1097</v>
      </c>
      <c r="K459" s="35"/>
      <c r="L459" s="35"/>
      <c r="M459" s="48"/>
      <c r="N459" s="48"/>
      <c r="O459" s="48"/>
      <c r="P459" s="48"/>
      <c r="Q459" s="48"/>
      <c r="R459" s="40"/>
      <c r="S459" s="40"/>
      <c r="T459" s="40"/>
      <c r="U459" s="40"/>
      <c r="V459" s="48"/>
      <c r="W459" s="48"/>
      <c r="X459" s="48"/>
      <c r="Y459" s="48"/>
      <c r="Z459" s="48"/>
      <c r="AA459" s="48">
        <v>7626</v>
      </c>
      <c r="AB459" s="48">
        <v>74</v>
      </c>
      <c r="AC459" s="48"/>
      <c r="AD459" s="48"/>
      <c r="AE459" s="48"/>
      <c r="AF459" s="48"/>
      <c r="AG459" s="48"/>
      <c r="AH459" s="48"/>
      <c r="AI459" s="48">
        <v>200</v>
      </c>
    </row>
    <row r="460" spans="1:35" x14ac:dyDescent="0.25">
      <c r="A460" s="48">
        <v>124</v>
      </c>
      <c r="B460" s="166" t="s">
        <v>634</v>
      </c>
      <c r="C460" s="166" t="s">
        <v>624</v>
      </c>
      <c r="D460" s="150">
        <f t="shared" si="20"/>
        <v>5000</v>
      </c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40"/>
      <c r="S460" s="137"/>
      <c r="T460" s="137"/>
      <c r="U460" s="40"/>
      <c r="V460" s="137"/>
      <c r="W460" s="137"/>
      <c r="X460" s="137"/>
      <c r="Y460" s="137"/>
      <c r="Z460" s="137"/>
      <c r="AA460" s="137"/>
      <c r="AB460" s="48"/>
      <c r="AC460" s="137"/>
      <c r="AD460" s="137"/>
      <c r="AE460" s="137"/>
      <c r="AF460" s="137"/>
      <c r="AG460" s="48">
        <v>2301</v>
      </c>
      <c r="AH460" s="137">
        <v>2699</v>
      </c>
      <c r="AI460" s="137"/>
    </row>
    <row r="461" spans="1:35" x14ac:dyDescent="0.25">
      <c r="A461" s="48">
        <v>125</v>
      </c>
      <c r="B461" s="166" t="s">
        <v>510</v>
      </c>
      <c r="C461" s="166" t="s">
        <v>509</v>
      </c>
      <c r="D461" s="150">
        <f t="shared" si="20"/>
        <v>3118</v>
      </c>
      <c r="E461" s="48"/>
      <c r="F461" s="48"/>
      <c r="G461" s="35"/>
      <c r="H461" s="35"/>
      <c r="I461" s="35"/>
      <c r="J461" s="35"/>
      <c r="K461" s="35"/>
      <c r="L461" s="35"/>
      <c r="M461" s="48"/>
      <c r="N461" s="48"/>
      <c r="O461" s="48">
        <v>1008</v>
      </c>
      <c r="P461" s="48"/>
      <c r="Q461" s="48"/>
      <c r="R461" s="40"/>
      <c r="S461" s="40"/>
      <c r="T461" s="40"/>
      <c r="U461" s="40"/>
      <c r="V461" s="48"/>
      <c r="W461" s="48"/>
      <c r="X461" s="48"/>
      <c r="Y461" s="48"/>
      <c r="Z461" s="48">
        <v>2110</v>
      </c>
      <c r="AA461" s="48"/>
      <c r="AB461" s="48"/>
      <c r="AC461" s="48"/>
      <c r="AD461" s="48"/>
      <c r="AE461" s="48"/>
      <c r="AF461" s="48"/>
      <c r="AG461" s="48"/>
      <c r="AH461" s="48"/>
      <c r="AI461" s="48"/>
    </row>
    <row r="462" spans="1:35" x14ac:dyDescent="0.25">
      <c r="A462" s="48">
        <v>126</v>
      </c>
      <c r="B462" s="166" t="s">
        <v>637</v>
      </c>
      <c r="C462" s="166" t="s">
        <v>635</v>
      </c>
      <c r="D462" s="150">
        <f t="shared" si="20"/>
        <v>60000</v>
      </c>
      <c r="E462" s="48"/>
      <c r="F462" s="48"/>
      <c r="G462" s="35"/>
      <c r="H462" s="35"/>
      <c r="I462" s="35"/>
      <c r="J462" s="35"/>
      <c r="K462" s="35"/>
      <c r="L462" s="35"/>
      <c r="M462" s="48">
        <v>30000</v>
      </c>
      <c r="N462" s="48"/>
      <c r="O462" s="48">
        <v>15000</v>
      </c>
      <c r="P462" s="48">
        <v>15000</v>
      </c>
      <c r="Q462" s="48"/>
      <c r="R462" s="40"/>
      <c r="S462" s="40"/>
      <c r="T462" s="40"/>
      <c r="U462" s="40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</row>
    <row r="463" spans="1:35" x14ac:dyDescent="0.25">
      <c r="A463" s="48">
        <v>127</v>
      </c>
      <c r="B463" s="176" t="s">
        <v>1169</v>
      </c>
      <c r="C463" s="176" t="s">
        <v>1168</v>
      </c>
      <c r="D463" s="150">
        <f t="shared" si="20"/>
        <v>11000</v>
      </c>
      <c r="E463" s="48"/>
      <c r="F463" s="48"/>
      <c r="G463" s="35"/>
      <c r="H463" s="35"/>
      <c r="I463" s="35"/>
      <c r="J463" s="35"/>
      <c r="K463" s="35"/>
      <c r="L463" s="35"/>
      <c r="M463" s="48"/>
      <c r="N463" s="48"/>
      <c r="O463" s="48"/>
      <c r="P463" s="48"/>
      <c r="Q463" s="48"/>
      <c r="R463" s="40"/>
      <c r="S463" s="40"/>
      <c r="T463" s="40"/>
      <c r="U463" s="40"/>
      <c r="V463" s="48"/>
      <c r="W463" s="48"/>
      <c r="X463" s="48"/>
      <c r="Y463" s="48"/>
      <c r="Z463" s="48"/>
      <c r="AA463" s="48"/>
      <c r="AB463" s="48"/>
      <c r="AC463" s="48">
        <v>9300</v>
      </c>
      <c r="AD463" s="48"/>
      <c r="AE463" s="48">
        <v>1700</v>
      </c>
      <c r="AF463" s="48"/>
      <c r="AG463" s="48"/>
      <c r="AH463" s="48"/>
      <c r="AI463" s="48"/>
    </row>
    <row r="464" spans="1:35" x14ac:dyDescent="0.25">
      <c r="A464" s="48">
        <v>128</v>
      </c>
      <c r="B464" s="176" t="s">
        <v>1171</v>
      </c>
      <c r="C464" s="176" t="s">
        <v>1170</v>
      </c>
      <c r="D464" s="150">
        <f t="shared" si="20"/>
        <v>800</v>
      </c>
      <c r="E464" s="48"/>
      <c r="F464" s="48"/>
      <c r="G464" s="35"/>
      <c r="H464" s="35"/>
      <c r="I464" s="35"/>
      <c r="J464" s="35"/>
      <c r="K464" s="35"/>
      <c r="L464" s="35"/>
      <c r="M464" s="48"/>
      <c r="N464" s="48"/>
      <c r="O464" s="48"/>
      <c r="P464" s="48"/>
      <c r="Q464" s="48"/>
      <c r="R464" s="40"/>
      <c r="S464" s="40"/>
      <c r="T464" s="40"/>
      <c r="U464" s="40"/>
      <c r="V464" s="48"/>
      <c r="W464" s="48"/>
      <c r="X464" s="48"/>
      <c r="Y464" s="48"/>
      <c r="Z464" s="48"/>
      <c r="AA464" s="48"/>
      <c r="AB464" s="48"/>
      <c r="AC464" s="48"/>
      <c r="AD464" s="48">
        <v>800</v>
      </c>
      <c r="AE464" s="48"/>
      <c r="AF464" s="48"/>
      <c r="AG464" s="48"/>
      <c r="AH464" s="48"/>
      <c r="AI464" s="48"/>
    </row>
    <row r="465" spans="1:35" x14ac:dyDescent="0.25">
      <c r="A465" s="48">
        <v>129</v>
      </c>
      <c r="B465" s="166" t="s">
        <v>638</v>
      </c>
      <c r="C465" s="166" t="s">
        <v>636</v>
      </c>
      <c r="D465" s="150">
        <f t="shared" ref="D465:D494" si="21">SUM(E465:AI465)</f>
        <v>950</v>
      </c>
      <c r="E465" s="48"/>
      <c r="F465" s="48"/>
      <c r="G465" s="35"/>
      <c r="H465" s="35"/>
      <c r="I465" s="35"/>
      <c r="J465" s="35"/>
      <c r="K465" s="35"/>
      <c r="L465" s="35"/>
      <c r="M465" s="48"/>
      <c r="N465" s="48"/>
      <c r="O465" s="48"/>
      <c r="P465" s="48"/>
      <c r="Q465" s="48"/>
      <c r="R465" s="40"/>
      <c r="S465" s="40"/>
      <c r="T465" s="40"/>
      <c r="U465" s="40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>
        <v>950</v>
      </c>
      <c r="AH465" s="48"/>
      <c r="AI465" s="48"/>
    </row>
    <row r="466" spans="1:35" x14ac:dyDescent="0.25">
      <c r="A466" s="48">
        <v>130</v>
      </c>
      <c r="B466" s="166" t="s">
        <v>685</v>
      </c>
      <c r="C466" s="166" t="s">
        <v>684</v>
      </c>
      <c r="D466" s="150">
        <f t="shared" si="21"/>
        <v>12500</v>
      </c>
      <c r="E466" s="48"/>
      <c r="F466" s="48"/>
      <c r="G466" s="35"/>
      <c r="H466" s="35"/>
      <c r="I466" s="35"/>
      <c r="J466" s="35"/>
      <c r="K466" s="35"/>
      <c r="L466" s="35"/>
      <c r="M466" s="48"/>
      <c r="N466" s="48"/>
      <c r="O466" s="48"/>
      <c r="P466" s="48"/>
      <c r="Q466" s="48"/>
      <c r="R466" s="40"/>
      <c r="S466" s="40"/>
      <c r="T466" s="40"/>
      <c r="U466" s="40"/>
      <c r="V466" s="48">
        <v>12468</v>
      </c>
      <c r="W466" s="48"/>
      <c r="X466" s="48"/>
      <c r="Y466" s="48"/>
      <c r="Z466" s="48"/>
      <c r="AA466" s="48">
        <v>32</v>
      </c>
      <c r="AB466" s="48"/>
      <c r="AC466" s="48"/>
      <c r="AD466" s="48"/>
      <c r="AE466" s="48"/>
      <c r="AF466" s="48"/>
      <c r="AG466" s="48"/>
      <c r="AH466" s="48"/>
      <c r="AI466" s="48"/>
    </row>
    <row r="467" spans="1:35" x14ac:dyDescent="0.25">
      <c r="A467" s="48">
        <v>131</v>
      </c>
      <c r="B467" s="166" t="s">
        <v>512</v>
      </c>
      <c r="C467" s="166" t="s">
        <v>511</v>
      </c>
      <c r="D467" s="150">
        <f t="shared" si="21"/>
        <v>1750</v>
      </c>
      <c r="E467" s="48"/>
      <c r="F467" s="48"/>
      <c r="G467" s="35"/>
      <c r="H467" s="35"/>
      <c r="I467" s="35"/>
      <c r="J467" s="35"/>
      <c r="K467" s="35"/>
      <c r="L467" s="35"/>
      <c r="M467" s="48"/>
      <c r="N467" s="48"/>
      <c r="O467" s="48"/>
      <c r="P467" s="48"/>
      <c r="Q467" s="48"/>
      <c r="R467" s="40"/>
      <c r="S467" s="40"/>
      <c r="T467" s="40"/>
      <c r="U467" s="40"/>
      <c r="V467" s="48"/>
      <c r="W467" s="48"/>
      <c r="X467" s="48"/>
      <c r="Y467" s="48"/>
      <c r="Z467" s="48"/>
      <c r="AA467" s="48"/>
      <c r="AB467" s="48">
        <v>1750</v>
      </c>
      <c r="AC467" s="48"/>
      <c r="AD467" s="48"/>
      <c r="AE467" s="48"/>
      <c r="AF467" s="48"/>
      <c r="AG467" s="48"/>
      <c r="AH467" s="48"/>
      <c r="AI467" s="48"/>
    </row>
    <row r="468" spans="1:35" x14ac:dyDescent="0.25">
      <c r="A468" s="48">
        <v>132</v>
      </c>
      <c r="B468" s="166" t="s">
        <v>535</v>
      </c>
      <c r="C468" s="166" t="s">
        <v>534</v>
      </c>
      <c r="D468" s="150">
        <f t="shared" si="21"/>
        <v>8500</v>
      </c>
      <c r="E468" s="48"/>
      <c r="F468" s="48"/>
      <c r="G468" s="35"/>
      <c r="H468" s="35"/>
      <c r="I468" s="35"/>
      <c r="J468" s="35"/>
      <c r="K468" s="35"/>
      <c r="L468" s="35"/>
      <c r="M468" s="48"/>
      <c r="N468" s="48"/>
      <c r="O468" s="48"/>
      <c r="P468" s="48"/>
      <c r="Q468" s="48"/>
      <c r="R468" s="40"/>
      <c r="S468" s="40"/>
      <c r="T468" s="40"/>
      <c r="U468" s="40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>
        <v>8500</v>
      </c>
    </row>
    <row r="469" spans="1:35" x14ac:dyDescent="0.25">
      <c r="A469" s="48">
        <v>133</v>
      </c>
      <c r="B469" s="166" t="s">
        <v>536</v>
      </c>
      <c r="C469" s="166" t="s">
        <v>537</v>
      </c>
      <c r="D469" s="150">
        <f t="shared" si="21"/>
        <v>18100</v>
      </c>
      <c r="E469" s="48"/>
      <c r="F469" s="48"/>
      <c r="G469" s="35"/>
      <c r="H469" s="35"/>
      <c r="I469" s="35"/>
      <c r="J469" s="35"/>
      <c r="K469" s="35"/>
      <c r="L469" s="35"/>
      <c r="M469" s="48"/>
      <c r="N469" s="48"/>
      <c r="O469" s="48"/>
      <c r="P469" s="48">
        <v>10080</v>
      </c>
      <c r="Q469" s="48"/>
      <c r="R469" s="40"/>
      <c r="S469" s="40"/>
      <c r="T469" s="40"/>
      <c r="U469" s="40"/>
      <c r="V469" s="48"/>
      <c r="W469" s="48"/>
      <c r="X469" s="48"/>
      <c r="Y469" s="48"/>
      <c r="Z469" s="48"/>
      <c r="AA469" s="48"/>
      <c r="AB469" s="48"/>
      <c r="AC469" s="48"/>
      <c r="AD469" s="48">
        <v>20</v>
      </c>
      <c r="AE469" s="48"/>
      <c r="AF469" s="48"/>
      <c r="AG469" s="48"/>
      <c r="AH469" s="48"/>
      <c r="AI469" s="48">
        <v>8000</v>
      </c>
    </row>
    <row r="470" spans="1:35" x14ac:dyDescent="0.25">
      <c r="A470" s="48">
        <v>134</v>
      </c>
      <c r="B470" s="166" t="s">
        <v>760</v>
      </c>
      <c r="C470" s="166" t="s">
        <v>759</v>
      </c>
      <c r="D470" s="150">
        <f t="shared" si="21"/>
        <v>2000</v>
      </c>
      <c r="E470" s="137"/>
      <c r="F470" s="137"/>
      <c r="G470" s="137"/>
      <c r="H470" s="35">
        <v>1992</v>
      </c>
      <c r="I470" s="137"/>
      <c r="J470" s="137"/>
      <c r="K470" s="35"/>
      <c r="L470" s="137"/>
      <c r="M470" s="137"/>
      <c r="N470" s="48">
        <v>6</v>
      </c>
      <c r="O470" s="137"/>
      <c r="P470" s="137"/>
      <c r="Q470" s="137"/>
      <c r="R470" s="137"/>
      <c r="S470" s="137"/>
      <c r="T470" s="137"/>
      <c r="U470" s="137"/>
      <c r="V470" s="137"/>
      <c r="W470" s="137"/>
      <c r="X470" s="48"/>
      <c r="Y470" s="48"/>
      <c r="Z470" s="48"/>
      <c r="AA470" s="137"/>
      <c r="AB470" s="137"/>
      <c r="AC470" s="48">
        <v>2</v>
      </c>
      <c r="AD470" s="137"/>
      <c r="AE470" s="137"/>
      <c r="AF470" s="137"/>
      <c r="AG470" s="137"/>
      <c r="AH470" s="137"/>
      <c r="AI470" s="137"/>
    </row>
    <row r="471" spans="1:35" x14ac:dyDescent="0.25">
      <c r="A471" s="48">
        <v>135</v>
      </c>
      <c r="B471" s="176" t="s">
        <v>1050</v>
      </c>
      <c r="C471" s="176" t="s">
        <v>1047</v>
      </c>
      <c r="D471" s="150">
        <f t="shared" si="21"/>
        <v>3010</v>
      </c>
      <c r="E471" s="48"/>
      <c r="F471" s="48"/>
      <c r="G471" s="35"/>
      <c r="H471" s="35"/>
      <c r="I471" s="35"/>
      <c r="J471" s="35"/>
      <c r="K471" s="35"/>
      <c r="L471" s="35"/>
      <c r="M471" s="48"/>
      <c r="N471" s="48"/>
      <c r="O471" s="48"/>
      <c r="P471" s="48"/>
      <c r="Q471" s="48"/>
      <c r="R471" s="40"/>
      <c r="S471" s="40"/>
      <c r="T471" s="40"/>
      <c r="U471" s="40"/>
      <c r="V471" s="48">
        <v>2994</v>
      </c>
      <c r="W471" s="48"/>
      <c r="X471" s="48"/>
      <c r="Y471" s="48"/>
      <c r="Z471" s="48"/>
      <c r="AA471" s="48"/>
      <c r="AB471" s="48">
        <v>16</v>
      </c>
      <c r="AC471" s="48"/>
      <c r="AD471" s="48"/>
      <c r="AE471" s="48"/>
      <c r="AF471" s="48"/>
      <c r="AG471" s="48"/>
      <c r="AH471" s="48"/>
      <c r="AI471" s="48"/>
    </row>
    <row r="472" spans="1:35" x14ac:dyDescent="0.25">
      <c r="A472" s="48">
        <v>136</v>
      </c>
      <c r="B472" s="176" t="s">
        <v>1051</v>
      </c>
      <c r="C472" s="176" t="s">
        <v>1048</v>
      </c>
      <c r="D472" s="150">
        <f t="shared" si="21"/>
        <v>2528</v>
      </c>
      <c r="E472" s="48"/>
      <c r="F472" s="48"/>
      <c r="G472" s="35"/>
      <c r="H472" s="35"/>
      <c r="I472" s="35"/>
      <c r="J472" s="35"/>
      <c r="K472" s="35"/>
      <c r="L472" s="35"/>
      <c r="M472" s="48"/>
      <c r="N472" s="48"/>
      <c r="O472" s="48"/>
      <c r="P472" s="48"/>
      <c r="Q472" s="48"/>
      <c r="R472" s="40"/>
      <c r="S472" s="40"/>
      <c r="T472" s="40"/>
      <c r="U472" s="40"/>
      <c r="V472" s="48">
        <v>2528</v>
      </c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</row>
    <row r="473" spans="1:35" x14ac:dyDescent="0.25">
      <c r="A473" s="48">
        <v>137</v>
      </c>
      <c r="B473" s="176" t="s">
        <v>1052</v>
      </c>
      <c r="C473" s="176" t="s">
        <v>1049</v>
      </c>
      <c r="D473" s="150">
        <f t="shared" si="21"/>
        <v>600</v>
      </c>
      <c r="E473" s="48"/>
      <c r="F473" s="48"/>
      <c r="G473" s="35"/>
      <c r="H473" s="35"/>
      <c r="I473" s="35"/>
      <c r="J473" s="35"/>
      <c r="K473" s="35"/>
      <c r="L473" s="35"/>
      <c r="M473" s="48"/>
      <c r="N473" s="48"/>
      <c r="O473" s="48"/>
      <c r="P473" s="48"/>
      <c r="Q473" s="48"/>
      <c r="R473" s="40"/>
      <c r="S473" s="40"/>
      <c r="T473" s="40"/>
      <c r="U473" s="40"/>
      <c r="V473" s="48">
        <v>400</v>
      </c>
      <c r="W473" s="48">
        <v>200</v>
      </c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</row>
    <row r="474" spans="1:35" x14ac:dyDescent="0.25">
      <c r="A474" s="48">
        <v>138</v>
      </c>
      <c r="B474" s="176" t="s">
        <v>1054</v>
      </c>
      <c r="C474" s="176" t="s">
        <v>1053</v>
      </c>
      <c r="D474" s="150">
        <f t="shared" si="21"/>
        <v>108500</v>
      </c>
      <c r="E474" s="48"/>
      <c r="F474" s="48"/>
      <c r="G474" s="35"/>
      <c r="H474" s="35"/>
      <c r="I474" s="35"/>
      <c r="J474" s="35"/>
      <c r="K474" s="35"/>
      <c r="L474" s="35"/>
      <c r="M474" s="48"/>
      <c r="N474" s="48"/>
      <c r="O474" s="48"/>
      <c r="P474" s="48"/>
      <c r="Q474" s="48">
        <v>6000</v>
      </c>
      <c r="R474" s="40"/>
      <c r="S474" s="40"/>
      <c r="T474" s="40"/>
      <c r="U474" s="40">
        <v>16770</v>
      </c>
      <c r="V474" s="48"/>
      <c r="W474" s="48">
        <v>930</v>
      </c>
      <c r="X474" s="48"/>
      <c r="Y474" s="48">
        <v>27000</v>
      </c>
      <c r="Z474" s="48">
        <v>13000</v>
      </c>
      <c r="AA474" s="48"/>
      <c r="AB474" s="48"/>
      <c r="AC474" s="48">
        <v>11500</v>
      </c>
      <c r="AD474" s="48">
        <v>5790</v>
      </c>
      <c r="AE474" s="48">
        <v>15000</v>
      </c>
      <c r="AF474" s="48">
        <v>12510</v>
      </c>
      <c r="AG474" s="48"/>
      <c r="AH474" s="48"/>
      <c r="AI474" s="48"/>
    </row>
    <row r="475" spans="1:35" x14ac:dyDescent="0.25">
      <c r="A475" s="48">
        <v>139</v>
      </c>
      <c r="B475" s="176" t="s">
        <v>889</v>
      </c>
      <c r="C475" s="176" t="s">
        <v>888</v>
      </c>
      <c r="D475" s="150">
        <f t="shared" si="21"/>
        <v>9200</v>
      </c>
      <c r="E475" s="48"/>
      <c r="F475" s="48"/>
      <c r="G475" s="35"/>
      <c r="H475" s="35"/>
      <c r="I475" s="35"/>
      <c r="J475" s="35"/>
      <c r="K475" s="35"/>
      <c r="L475" s="35"/>
      <c r="M475" s="48"/>
      <c r="N475" s="48"/>
      <c r="O475" s="48"/>
      <c r="P475" s="48">
        <v>3300</v>
      </c>
      <c r="Q475" s="48">
        <v>1848</v>
      </c>
      <c r="R475" s="40"/>
      <c r="S475" s="40"/>
      <c r="T475" s="40"/>
      <c r="U475" s="40"/>
      <c r="V475" s="48"/>
      <c r="W475" s="48"/>
      <c r="X475" s="48"/>
      <c r="Y475" s="48">
        <v>4020</v>
      </c>
      <c r="Z475" s="48"/>
      <c r="AA475" s="48"/>
      <c r="AB475" s="48">
        <v>32</v>
      </c>
      <c r="AC475" s="48"/>
      <c r="AD475" s="48"/>
      <c r="AE475" s="48"/>
      <c r="AF475" s="48"/>
      <c r="AG475" s="48"/>
      <c r="AH475" s="48"/>
      <c r="AI475" s="48"/>
    </row>
    <row r="476" spans="1:35" x14ac:dyDescent="0.25">
      <c r="A476" s="48">
        <v>140</v>
      </c>
      <c r="B476" s="176" t="s">
        <v>891</v>
      </c>
      <c r="C476" s="176" t="s">
        <v>890</v>
      </c>
      <c r="D476" s="150">
        <f t="shared" si="21"/>
        <v>8000</v>
      </c>
      <c r="E476" s="48"/>
      <c r="F476" s="48"/>
      <c r="G476" s="35"/>
      <c r="H476" s="35"/>
      <c r="I476" s="35"/>
      <c r="J476" s="35"/>
      <c r="K476" s="35"/>
      <c r="L476" s="35"/>
      <c r="M476" s="48"/>
      <c r="N476" s="48"/>
      <c r="O476" s="48"/>
      <c r="P476" s="48"/>
      <c r="Q476" s="48"/>
      <c r="R476" s="40"/>
      <c r="S476" s="40"/>
      <c r="T476" s="40"/>
      <c r="U476" s="40"/>
      <c r="V476" s="48">
        <v>5000</v>
      </c>
      <c r="W476" s="48"/>
      <c r="X476" s="48"/>
      <c r="Y476" s="48"/>
      <c r="Z476" s="48"/>
      <c r="AA476" s="48">
        <v>3000</v>
      </c>
      <c r="AB476" s="48"/>
      <c r="AC476" s="48"/>
      <c r="AD476" s="48"/>
      <c r="AE476" s="48"/>
      <c r="AF476" s="48"/>
      <c r="AG476" s="48"/>
      <c r="AH476" s="48"/>
      <c r="AI476" s="48"/>
    </row>
    <row r="477" spans="1:35" x14ac:dyDescent="0.25">
      <c r="A477" s="48">
        <v>141</v>
      </c>
      <c r="B477" s="166" t="s">
        <v>529</v>
      </c>
      <c r="C477" s="166" t="s">
        <v>528</v>
      </c>
      <c r="D477" s="150">
        <f t="shared" si="21"/>
        <v>0</v>
      </c>
      <c r="E477" s="48"/>
      <c r="F477" s="48"/>
      <c r="G477" s="35"/>
      <c r="H477" s="35"/>
      <c r="I477" s="35"/>
      <c r="J477" s="35"/>
      <c r="K477" s="35"/>
      <c r="L477" s="35"/>
      <c r="M477" s="48"/>
      <c r="N477" s="48"/>
      <c r="O477" s="48"/>
      <c r="P477" s="48"/>
      <c r="Q477" s="48"/>
      <c r="R477" s="40"/>
      <c r="S477" s="40"/>
      <c r="T477" s="40"/>
      <c r="U477" s="40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</row>
    <row r="478" spans="1:35" x14ac:dyDescent="0.25">
      <c r="A478" s="48">
        <v>142</v>
      </c>
      <c r="B478" s="166" t="s">
        <v>368</v>
      </c>
      <c r="C478" s="166" t="s">
        <v>367</v>
      </c>
      <c r="D478" s="150">
        <f t="shared" si="21"/>
        <v>8000</v>
      </c>
      <c r="E478" s="48"/>
      <c r="F478" s="48"/>
      <c r="G478" s="35"/>
      <c r="H478" s="35"/>
      <c r="I478" s="35"/>
      <c r="J478" s="35"/>
      <c r="K478" s="35"/>
      <c r="L478" s="35"/>
      <c r="M478" s="48"/>
      <c r="N478" s="48"/>
      <c r="O478" s="48"/>
      <c r="P478" s="48"/>
      <c r="Q478" s="48"/>
      <c r="R478" s="40"/>
      <c r="S478" s="40"/>
      <c r="T478" s="40"/>
      <c r="U478" s="40">
        <v>3000</v>
      </c>
      <c r="V478" s="48"/>
      <c r="W478" s="48"/>
      <c r="X478" s="48"/>
      <c r="Y478" s="48"/>
      <c r="Z478" s="48"/>
      <c r="AA478" s="48"/>
      <c r="AB478" s="48">
        <v>5000</v>
      </c>
      <c r="AC478" s="48"/>
      <c r="AD478" s="48"/>
      <c r="AE478" s="48"/>
      <c r="AF478" s="48"/>
      <c r="AG478" s="48"/>
      <c r="AH478" s="48"/>
      <c r="AI478" s="48"/>
    </row>
    <row r="479" spans="1:35" x14ac:dyDescent="0.25">
      <c r="A479" s="48">
        <v>143</v>
      </c>
      <c r="B479" s="176" t="s">
        <v>1118</v>
      </c>
      <c r="C479" s="176" t="s">
        <v>1117</v>
      </c>
      <c r="D479" s="150">
        <f t="shared" si="21"/>
        <v>2000</v>
      </c>
      <c r="E479" s="137"/>
      <c r="F479" s="137"/>
      <c r="G479" s="137"/>
      <c r="H479" s="137"/>
      <c r="I479" s="137"/>
      <c r="J479" s="137"/>
      <c r="K479" s="137"/>
      <c r="L479" s="137"/>
      <c r="M479" s="137"/>
      <c r="N479" s="48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48"/>
      <c r="Z479" s="48">
        <v>2000</v>
      </c>
      <c r="AA479" s="137"/>
      <c r="AB479" s="137"/>
      <c r="AC479" s="48"/>
      <c r="AD479" s="137"/>
      <c r="AE479" s="137"/>
      <c r="AF479" s="137"/>
      <c r="AG479" s="137"/>
      <c r="AH479" s="137"/>
      <c r="AI479" s="137"/>
    </row>
    <row r="480" spans="1:35" x14ac:dyDescent="0.25">
      <c r="A480" s="48">
        <v>144</v>
      </c>
      <c r="B480" s="176" t="s">
        <v>1120</v>
      </c>
      <c r="C480" s="176" t="s">
        <v>1119</v>
      </c>
      <c r="D480" s="150">
        <f t="shared" si="21"/>
        <v>47200</v>
      </c>
      <c r="E480" s="48"/>
      <c r="F480" s="48"/>
      <c r="G480" s="35"/>
      <c r="H480" s="35"/>
      <c r="I480" s="35"/>
      <c r="J480" s="35"/>
      <c r="K480" s="35"/>
      <c r="L480" s="35"/>
      <c r="M480" s="48"/>
      <c r="N480" s="48"/>
      <c r="O480" s="48"/>
      <c r="P480" s="48"/>
      <c r="Q480" s="48"/>
      <c r="R480" s="40"/>
      <c r="S480" s="40"/>
      <c r="T480" s="40"/>
      <c r="U480" s="40"/>
      <c r="V480" s="48"/>
      <c r="W480" s="48"/>
      <c r="X480" s="48"/>
      <c r="Y480" s="48"/>
      <c r="Z480" s="48">
        <v>30000</v>
      </c>
      <c r="AA480" s="48"/>
      <c r="AB480" s="48">
        <v>15000</v>
      </c>
      <c r="AC480" s="48"/>
      <c r="AD480" s="48"/>
      <c r="AE480" s="48"/>
      <c r="AF480" s="48">
        <v>2200</v>
      </c>
      <c r="AG480" s="48"/>
      <c r="AH480" s="48"/>
      <c r="AI480" s="48"/>
    </row>
    <row r="481" spans="1:35" x14ac:dyDescent="0.25">
      <c r="A481" s="48">
        <v>145</v>
      </c>
      <c r="B481" s="176" t="s">
        <v>968</v>
      </c>
      <c r="C481" s="176" t="s">
        <v>967</v>
      </c>
      <c r="D481" s="150">
        <f t="shared" si="21"/>
        <v>30000</v>
      </c>
      <c r="E481" s="48"/>
      <c r="F481" s="48"/>
      <c r="G481" s="35"/>
      <c r="H481" s="35">
        <v>30000</v>
      </c>
      <c r="I481" s="35"/>
      <c r="J481" s="35"/>
      <c r="K481" s="35"/>
      <c r="L481" s="35"/>
      <c r="M481" s="48"/>
      <c r="N481" s="48"/>
      <c r="O481" s="48"/>
      <c r="P481" s="48"/>
      <c r="Q481" s="48"/>
      <c r="R481" s="40"/>
      <c r="S481" s="40"/>
      <c r="T481" s="40"/>
      <c r="U481" s="40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</row>
    <row r="482" spans="1:35" x14ac:dyDescent="0.25">
      <c r="A482" s="48">
        <v>146</v>
      </c>
      <c r="B482" s="166" t="s">
        <v>369</v>
      </c>
      <c r="C482" s="166" t="s">
        <v>370</v>
      </c>
      <c r="D482" s="150">
        <f t="shared" si="21"/>
        <v>18800</v>
      </c>
      <c r="E482" s="48"/>
      <c r="F482" s="48"/>
      <c r="G482" s="35">
        <v>6120</v>
      </c>
      <c r="H482" s="35">
        <v>8880</v>
      </c>
      <c r="I482" s="35"/>
      <c r="J482" s="35"/>
      <c r="K482" s="35"/>
      <c r="L482" s="35"/>
      <c r="M482" s="48"/>
      <c r="N482" s="48"/>
      <c r="O482" s="48"/>
      <c r="P482" s="48"/>
      <c r="Q482" s="48"/>
      <c r="R482" s="40"/>
      <c r="S482" s="40"/>
      <c r="T482" s="40"/>
      <c r="U482" s="40"/>
      <c r="V482" s="48"/>
      <c r="W482" s="48"/>
      <c r="X482" s="48"/>
      <c r="Y482" s="48"/>
      <c r="Z482" s="48"/>
      <c r="AA482" s="48"/>
      <c r="AB482" s="48"/>
      <c r="AC482" s="48"/>
      <c r="AD482" s="48">
        <v>3800</v>
      </c>
      <c r="AE482" s="48"/>
      <c r="AF482" s="48"/>
      <c r="AG482" s="48"/>
      <c r="AH482" s="48"/>
      <c r="AI482" s="48"/>
    </row>
    <row r="483" spans="1:35" x14ac:dyDescent="0.25">
      <c r="A483" s="48">
        <v>147</v>
      </c>
      <c r="B483" s="176" t="s">
        <v>1093</v>
      </c>
      <c r="C483" s="176" t="s">
        <v>1091</v>
      </c>
      <c r="D483" s="150">
        <f t="shared" si="21"/>
        <v>500</v>
      </c>
      <c r="E483" s="48"/>
      <c r="F483" s="48"/>
      <c r="G483" s="35"/>
      <c r="H483" s="35"/>
      <c r="I483" s="35"/>
      <c r="J483" s="35"/>
      <c r="K483" s="35"/>
      <c r="L483" s="35"/>
      <c r="M483" s="48"/>
      <c r="N483" s="48"/>
      <c r="O483" s="48"/>
      <c r="P483" s="48"/>
      <c r="Q483" s="48"/>
      <c r="R483" s="40"/>
      <c r="S483" s="40"/>
      <c r="T483" s="40"/>
      <c r="U483" s="40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>
        <v>500</v>
      </c>
      <c r="AG483" s="48"/>
      <c r="AH483" s="48"/>
      <c r="AI483" s="48"/>
    </row>
    <row r="484" spans="1:35" x14ac:dyDescent="0.25">
      <c r="A484" s="48">
        <v>148</v>
      </c>
      <c r="B484" s="176" t="s">
        <v>1094</v>
      </c>
      <c r="C484" s="176" t="s">
        <v>1092</v>
      </c>
      <c r="D484" s="150">
        <f t="shared" si="21"/>
        <v>1310</v>
      </c>
      <c r="E484" s="48"/>
      <c r="F484" s="48"/>
      <c r="G484" s="35"/>
      <c r="H484" s="35"/>
      <c r="I484" s="35"/>
      <c r="J484" s="35"/>
      <c r="K484" s="35"/>
      <c r="L484" s="35"/>
      <c r="M484" s="48"/>
      <c r="N484" s="48"/>
      <c r="O484" s="48"/>
      <c r="P484" s="48"/>
      <c r="Q484" s="48"/>
      <c r="R484" s="40"/>
      <c r="S484" s="40"/>
      <c r="T484" s="40"/>
      <c r="U484" s="40"/>
      <c r="V484" s="48"/>
      <c r="W484" s="48"/>
      <c r="X484" s="48"/>
      <c r="Y484" s="48"/>
      <c r="Z484" s="48">
        <v>1310</v>
      </c>
      <c r="AA484" s="48"/>
      <c r="AB484" s="48"/>
      <c r="AC484" s="48"/>
      <c r="AD484" s="48"/>
      <c r="AE484" s="48"/>
      <c r="AF484" s="48"/>
      <c r="AG484" s="48"/>
      <c r="AH484" s="48"/>
      <c r="AI484" s="48"/>
    </row>
    <row r="485" spans="1:35" x14ac:dyDescent="0.25">
      <c r="A485" s="48">
        <v>149</v>
      </c>
      <c r="B485" s="166" t="s">
        <v>437</v>
      </c>
      <c r="C485" s="166" t="s">
        <v>436</v>
      </c>
      <c r="D485" s="150">
        <f t="shared" si="21"/>
        <v>0</v>
      </c>
      <c r="E485" s="48"/>
      <c r="F485" s="48"/>
      <c r="G485" s="35"/>
      <c r="H485" s="35"/>
      <c r="I485" s="35"/>
      <c r="J485" s="35"/>
      <c r="K485" s="35"/>
      <c r="L485" s="35"/>
      <c r="M485" s="48"/>
      <c r="N485" s="48"/>
      <c r="O485" s="48"/>
      <c r="P485" s="48"/>
      <c r="Q485" s="48"/>
      <c r="R485" s="40"/>
      <c r="S485" s="40"/>
      <c r="T485" s="40"/>
      <c r="U485" s="40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</row>
    <row r="486" spans="1:35" x14ac:dyDescent="0.25">
      <c r="A486" s="48">
        <v>150</v>
      </c>
      <c r="B486" s="166" t="s">
        <v>440</v>
      </c>
      <c r="C486" s="166" t="s">
        <v>438</v>
      </c>
      <c r="D486" s="150">
        <f t="shared" si="21"/>
        <v>5500</v>
      </c>
      <c r="E486" s="48"/>
      <c r="F486" s="48"/>
      <c r="G486" s="35"/>
      <c r="H486" s="35">
        <v>1000</v>
      </c>
      <c r="I486" s="35"/>
      <c r="J486" s="35"/>
      <c r="K486" s="35"/>
      <c r="L486" s="35"/>
      <c r="M486" s="48"/>
      <c r="N486" s="48"/>
      <c r="O486" s="48">
        <v>500</v>
      </c>
      <c r="P486" s="48"/>
      <c r="Q486" s="48"/>
      <c r="R486" s="40"/>
      <c r="S486" s="40"/>
      <c r="T486" s="40"/>
      <c r="U486" s="40"/>
      <c r="V486" s="48">
        <v>4000</v>
      </c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</row>
    <row r="487" spans="1:35" x14ac:dyDescent="0.25">
      <c r="A487" s="48">
        <v>151</v>
      </c>
      <c r="B487" s="166" t="s">
        <v>441</v>
      </c>
      <c r="C487" s="166" t="s">
        <v>439</v>
      </c>
      <c r="D487" s="150">
        <f t="shared" si="21"/>
        <v>68000</v>
      </c>
      <c r="E487" s="48"/>
      <c r="F487" s="48"/>
      <c r="G487" s="35"/>
      <c r="H487" s="35"/>
      <c r="I487" s="35">
        <v>11000</v>
      </c>
      <c r="J487" s="35"/>
      <c r="K487" s="35"/>
      <c r="L487" s="35"/>
      <c r="M487" s="48"/>
      <c r="N487" s="48"/>
      <c r="O487" s="48">
        <v>6000</v>
      </c>
      <c r="P487" s="48"/>
      <c r="Q487" s="48"/>
      <c r="R487" s="40"/>
      <c r="S487" s="40"/>
      <c r="T487" s="40"/>
      <c r="U487" s="40"/>
      <c r="V487" s="48">
        <v>19860</v>
      </c>
      <c r="W487" s="48">
        <v>20000</v>
      </c>
      <c r="X487" s="48">
        <v>6990</v>
      </c>
      <c r="Y487" s="48">
        <v>4150</v>
      </c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</row>
    <row r="488" spans="1:35" x14ac:dyDescent="0.25">
      <c r="A488" s="48">
        <v>152</v>
      </c>
      <c r="B488" s="176" t="s">
        <v>989</v>
      </c>
      <c r="C488" s="176" t="s">
        <v>987</v>
      </c>
      <c r="D488" s="150">
        <f t="shared" si="21"/>
        <v>500</v>
      </c>
      <c r="E488" s="48"/>
      <c r="F488" s="48"/>
      <c r="G488" s="35"/>
      <c r="H488" s="35"/>
      <c r="I488" s="35"/>
      <c r="J488" s="35">
        <v>500</v>
      </c>
      <c r="K488" s="35"/>
      <c r="L488" s="35"/>
      <c r="M488" s="48"/>
      <c r="N488" s="48"/>
      <c r="O488" s="48"/>
      <c r="P488" s="48"/>
      <c r="Q488" s="48"/>
      <c r="R488" s="40"/>
      <c r="S488" s="40"/>
      <c r="T488" s="40"/>
      <c r="U488" s="40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</row>
    <row r="489" spans="1:35" x14ac:dyDescent="0.25">
      <c r="A489" s="48">
        <v>153</v>
      </c>
      <c r="B489" s="176" t="s">
        <v>990</v>
      </c>
      <c r="C489" s="176" t="s">
        <v>988</v>
      </c>
      <c r="D489" s="150">
        <f t="shared" si="21"/>
        <v>500</v>
      </c>
      <c r="E489" s="48"/>
      <c r="F489" s="48"/>
      <c r="G489" s="35"/>
      <c r="H489" s="35"/>
      <c r="I489" s="35"/>
      <c r="J489" s="35">
        <v>456</v>
      </c>
      <c r="K489" s="35"/>
      <c r="L489" s="35"/>
      <c r="M489" s="48"/>
      <c r="N489" s="48">
        <v>44</v>
      </c>
      <c r="O489" s="48"/>
      <c r="P489" s="48"/>
      <c r="Q489" s="48"/>
      <c r="R489" s="40"/>
      <c r="S489" s="40"/>
      <c r="T489" s="40"/>
      <c r="U489" s="40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</row>
    <row r="490" spans="1:35" x14ac:dyDescent="0.25">
      <c r="A490" s="48">
        <v>154</v>
      </c>
      <c r="B490" s="176" t="s">
        <v>992</v>
      </c>
      <c r="C490" s="176" t="s">
        <v>991</v>
      </c>
      <c r="D490" s="150">
        <f t="shared" si="21"/>
        <v>24104</v>
      </c>
      <c r="E490" s="48"/>
      <c r="F490" s="48"/>
      <c r="G490" s="35"/>
      <c r="H490" s="35"/>
      <c r="I490" s="35"/>
      <c r="J490" s="35">
        <v>17240</v>
      </c>
      <c r="K490" s="35"/>
      <c r="L490" s="35"/>
      <c r="M490" s="48"/>
      <c r="N490" s="48"/>
      <c r="O490" s="48">
        <v>504</v>
      </c>
      <c r="P490" s="48"/>
      <c r="Q490" s="48"/>
      <c r="R490" s="40"/>
      <c r="S490" s="40"/>
      <c r="T490" s="40"/>
      <c r="U490" s="40"/>
      <c r="V490" s="48"/>
      <c r="W490" s="48"/>
      <c r="X490" s="48"/>
      <c r="Y490" s="48"/>
      <c r="Z490" s="48">
        <v>6360</v>
      </c>
      <c r="AA490" s="48"/>
      <c r="AB490" s="48"/>
      <c r="AC490" s="48"/>
      <c r="AD490" s="48"/>
      <c r="AE490" s="48"/>
      <c r="AF490" s="48"/>
      <c r="AG490" s="48"/>
      <c r="AH490" s="48"/>
      <c r="AI490" s="48"/>
    </row>
    <row r="491" spans="1:35" x14ac:dyDescent="0.25">
      <c r="A491" s="48">
        <v>155</v>
      </c>
      <c r="B491" s="176" t="s">
        <v>1000</v>
      </c>
      <c r="C491" s="176" t="s">
        <v>999</v>
      </c>
      <c r="D491" s="150">
        <f t="shared" si="21"/>
        <v>5000</v>
      </c>
      <c r="E491" s="48"/>
      <c r="F491" s="48"/>
      <c r="G491" s="35"/>
      <c r="H491" s="35"/>
      <c r="I491" s="35"/>
      <c r="J491" s="35"/>
      <c r="K491" s="35"/>
      <c r="L491" s="35"/>
      <c r="M491" s="48"/>
      <c r="N491" s="48"/>
      <c r="O491" s="48"/>
      <c r="P491" s="48">
        <v>4995</v>
      </c>
      <c r="Q491" s="48"/>
      <c r="R491" s="40"/>
      <c r="S491" s="40"/>
      <c r="T491" s="40"/>
      <c r="U491" s="40"/>
      <c r="V491" s="48"/>
      <c r="W491" s="48">
        <v>5</v>
      </c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</row>
    <row r="492" spans="1:35" x14ac:dyDescent="0.25">
      <c r="A492" s="48">
        <v>156</v>
      </c>
      <c r="B492" s="176" t="s">
        <v>1002</v>
      </c>
      <c r="C492" s="176" t="s">
        <v>1001</v>
      </c>
      <c r="D492" s="150">
        <f t="shared" si="21"/>
        <v>1200</v>
      </c>
      <c r="E492" s="137"/>
      <c r="F492" s="137"/>
      <c r="G492" s="137"/>
      <c r="H492" s="137"/>
      <c r="I492" s="137"/>
      <c r="J492" s="137"/>
      <c r="K492" s="137"/>
      <c r="L492" s="137"/>
      <c r="M492" s="137"/>
      <c r="N492" s="48"/>
      <c r="O492" s="48">
        <v>1200</v>
      </c>
      <c r="P492" s="137"/>
      <c r="Q492" s="137"/>
      <c r="R492" s="137"/>
      <c r="S492" s="137"/>
      <c r="T492" s="137"/>
      <c r="U492" s="137"/>
      <c r="V492" s="137"/>
      <c r="W492" s="48"/>
      <c r="X492" s="137"/>
      <c r="Y492" s="137"/>
      <c r="Z492" s="137"/>
      <c r="AA492" s="137"/>
      <c r="AB492" s="137"/>
      <c r="AC492" s="48"/>
      <c r="AD492" s="137"/>
      <c r="AE492" s="137"/>
      <c r="AF492" s="137"/>
      <c r="AG492" s="137"/>
      <c r="AH492" s="137"/>
      <c r="AI492" s="137"/>
    </row>
    <row r="493" spans="1:35" x14ac:dyDescent="0.25">
      <c r="A493" s="48">
        <v>157</v>
      </c>
      <c r="B493" s="176" t="s">
        <v>1004</v>
      </c>
      <c r="C493" s="176" t="s">
        <v>1003</v>
      </c>
      <c r="D493" s="150">
        <f t="shared" si="21"/>
        <v>500000</v>
      </c>
      <c r="E493" s="137"/>
      <c r="F493" s="137"/>
      <c r="G493" s="137"/>
      <c r="H493" s="137"/>
      <c r="I493" s="137"/>
      <c r="J493" s="137"/>
      <c r="K493" s="137"/>
      <c r="L493" s="35">
        <v>14700</v>
      </c>
      <c r="M493" s="48">
        <v>756</v>
      </c>
      <c r="N493" s="48">
        <v>19236</v>
      </c>
      <c r="O493" s="48">
        <v>4914</v>
      </c>
      <c r="P493" s="137"/>
      <c r="Q493" s="48"/>
      <c r="R493" s="40"/>
      <c r="S493" s="137"/>
      <c r="T493" s="137"/>
      <c r="U493" s="137"/>
      <c r="V493" s="137"/>
      <c r="W493" s="137"/>
      <c r="X493" s="48">
        <v>394</v>
      </c>
      <c r="Y493" s="48">
        <v>67200</v>
      </c>
      <c r="Z493" s="48">
        <v>56700</v>
      </c>
      <c r="AA493" s="48">
        <v>56700</v>
      </c>
      <c r="AB493" s="48">
        <v>68907</v>
      </c>
      <c r="AC493" s="48">
        <v>69300</v>
      </c>
      <c r="AD493" s="48">
        <v>39193</v>
      </c>
      <c r="AE493" s="48">
        <v>1831</v>
      </c>
      <c r="AF493" s="48">
        <v>52500</v>
      </c>
      <c r="AG493" s="48">
        <v>37800</v>
      </c>
      <c r="AH493" s="137">
        <v>9869</v>
      </c>
      <c r="AI493" s="137"/>
    </row>
    <row r="494" spans="1:35" x14ac:dyDescent="0.25">
      <c r="A494" s="48">
        <v>158</v>
      </c>
      <c r="B494" s="166" t="s">
        <v>162</v>
      </c>
      <c r="C494" s="166" t="s">
        <v>118</v>
      </c>
      <c r="D494" s="150">
        <f t="shared" si="21"/>
        <v>0</v>
      </c>
      <c r="E494" s="48"/>
      <c r="F494" s="48"/>
      <c r="G494" s="35"/>
      <c r="H494" s="35"/>
      <c r="I494" s="35"/>
      <c r="J494" s="35"/>
      <c r="K494" s="35"/>
      <c r="L494" s="35"/>
      <c r="M494" s="48"/>
      <c r="N494" s="48"/>
      <c r="O494" s="48"/>
      <c r="P494" s="48"/>
      <c r="Q494" s="48"/>
      <c r="R494" s="40"/>
      <c r="S494" s="40"/>
      <c r="T494" s="40"/>
      <c r="U494" s="40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</row>
    <row r="495" spans="1:35" x14ac:dyDescent="0.25">
      <c r="A495" s="141" t="s">
        <v>140</v>
      </c>
      <c r="B495" s="33" t="s">
        <v>125</v>
      </c>
      <c r="C495" s="141" t="s">
        <v>141</v>
      </c>
      <c r="D495" s="143">
        <f t="shared" ref="D495:AI495" si="22">SUM(D496:D535)</f>
        <v>482242</v>
      </c>
      <c r="E495" s="143">
        <f t="shared" si="22"/>
        <v>32</v>
      </c>
      <c r="F495" s="143">
        <f t="shared" si="22"/>
        <v>0</v>
      </c>
      <c r="G495" s="143">
        <f t="shared" si="22"/>
        <v>7959</v>
      </c>
      <c r="H495" s="143">
        <f t="shared" si="22"/>
        <v>49140</v>
      </c>
      <c r="I495" s="143">
        <f t="shared" si="22"/>
        <v>30556</v>
      </c>
      <c r="J495" s="143">
        <f t="shared" si="22"/>
        <v>8978</v>
      </c>
      <c r="K495" s="143">
        <f t="shared" si="22"/>
        <v>7410</v>
      </c>
      <c r="L495" s="143">
        <f t="shared" si="22"/>
        <v>20050</v>
      </c>
      <c r="M495" s="143">
        <f t="shared" si="22"/>
        <v>22000</v>
      </c>
      <c r="N495" s="143">
        <f t="shared" si="22"/>
        <v>23750</v>
      </c>
      <c r="O495" s="143">
        <f t="shared" si="22"/>
        <v>32772</v>
      </c>
      <c r="P495" s="143">
        <f t="shared" si="22"/>
        <v>51603</v>
      </c>
      <c r="Q495" s="143">
        <f t="shared" si="22"/>
        <v>11900</v>
      </c>
      <c r="R495" s="143">
        <f t="shared" si="22"/>
        <v>0</v>
      </c>
      <c r="S495" s="143">
        <f t="shared" si="22"/>
        <v>0</v>
      </c>
      <c r="T495" s="143">
        <f t="shared" si="22"/>
        <v>0</v>
      </c>
      <c r="U495" s="143">
        <f t="shared" si="22"/>
        <v>11193</v>
      </c>
      <c r="V495" s="143">
        <f t="shared" si="22"/>
        <v>20804</v>
      </c>
      <c r="W495" s="143">
        <f t="shared" si="22"/>
        <v>240</v>
      </c>
      <c r="X495" s="143">
        <f t="shared" si="22"/>
        <v>27130</v>
      </c>
      <c r="Y495" s="143">
        <f t="shared" si="22"/>
        <v>500</v>
      </c>
      <c r="Z495" s="143">
        <f t="shared" si="22"/>
        <v>21850</v>
      </c>
      <c r="AA495" s="143">
        <f t="shared" si="22"/>
        <v>13630</v>
      </c>
      <c r="AB495" s="143">
        <f t="shared" si="22"/>
        <v>30744</v>
      </c>
      <c r="AC495" s="143">
        <f t="shared" si="22"/>
        <v>24260</v>
      </c>
      <c r="AD495" s="143">
        <f t="shared" si="22"/>
        <v>16100</v>
      </c>
      <c r="AE495" s="143">
        <f t="shared" si="22"/>
        <v>36</v>
      </c>
      <c r="AF495" s="143">
        <f t="shared" si="22"/>
        <v>1030</v>
      </c>
      <c r="AG495" s="143">
        <f t="shared" si="22"/>
        <v>0</v>
      </c>
      <c r="AH495" s="143">
        <f t="shared" si="22"/>
        <v>26560</v>
      </c>
      <c r="AI495" s="143">
        <f t="shared" si="22"/>
        <v>22015</v>
      </c>
    </row>
    <row r="496" spans="1:35" x14ac:dyDescent="0.25">
      <c r="A496" s="48">
        <v>1</v>
      </c>
      <c r="B496" s="166" t="s">
        <v>762</v>
      </c>
      <c r="C496" s="166" t="s">
        <v>761</v>
      </c>
      <c r="D496" s="150">
        <f t="shared" ref="D496:D535" si="23">SUM(E496:AI496)</f>
        <v>3000</v>
      </c>
      <c r="E496" s="48"/>
      <c r="F496" s="48"/>
      <c r="G496" s="35"/>
      <c r="H496" s="35"/>
      <c r="I496" s="35"/>
      <c r="J496" s="35">
        <v>3000</v>
      </c>
      <c r="K496" s="35"/>
      <c r="L496" s="35"/>
      <c r="M496" s="48"/>
      <c r="N496" s="48"/>
      <c r="O496" s="48"/>
      <c r="P496" s="48"/>
      <c r="Q496" s="48"/>
      <c r="R496" s="40"/>
      <c r="S496" s="40"/>
      <c r="T496" s="40"/>
      <c r="U496" s="40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</row>
    <row r="497" spans="1:35" x14ac:dyDescent="0.25">
      <c r="A497" s="48">
        <v>2</v>
      </c>
      <c r="B497" s="166" t="s">
        <v>163</v>
      </c>
      <c r="C497" s="166" t="s">
        <v>95</v>
      </c>
      <c r="D497" s="150">
        <f t="shared" si="23"/>
        <v>950</v>
      </c>
      <c r="E497" s="48"/>
      <c r="F497" s="48"/>
      <c r="G497" s="35"/>
      <c r="H497" s="35"/>
      <c r="I497" s="35"/>
      <c r="J497" s="35"/>
      <c r="K497" s="35"/>
      <c r="L497" s="35"/>
      <c r="M497" s="48"/>
      <c r="N497" s="48"/>
      <c r="O497" s="48"/>
      <c r="P497" s="48"/>
      <c r="Q497" s="48"/>
      <c r="R497" s="40"/>
      <c r="S497" s="40"/>
      <c r="T497" s="40"/>
      <c r="U497" s="40"/>
      <c r="V497" s="48"/>
      <c r="W497" s="48"/>
      <c r="X497" s="48">
        <v>950</v>
      </c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</row>
    <row r="498" spans="1:35" x14ac:dyDescent="0.25">
      <c r="A498" s="48">
        <v>3</v>
      </c>
      <c r="B498" s="166" t="s">
        <v>128</v>
      </c>
      <c r="C498" s="166" t="s">
        <v>127</v>
      </c>
      <c r="D498" s="150">
        <f t="shared" si="23"/>
        <v>168700</v>
      </c>
      <c r="E498" s="48"/>
      <c r="F498" s="48"/>
      <c r="G498" s="35"/>
      <c r="H498" s="35">
        <v>49000</v>
      </c>
      <c r="I498" s="35"/>
      <c r="J498" s="35">
        <v>1250</v>
      </c>
      <c r="K498" s="35"/>
      <c r="L498" s="35">
        <v>20050</v>
      </c>
      <c r="M498" s="48">
        <v>20000</v>
      </c>
      <c r="N498" s="48"/>
      <c r="O498" s="48">
        <v>29800</v>
      </c>
      <c r="P498" s="48">
        <v>20200</v>
      </c>
      <c r="Q498" s="48"/>
      <c r="R498" s="40"/>
      <c r="S498" s="40"/>
      <c r="T498" s="40"/>
      <c r="U498" s="40"/>
      <c r="V498" s="48"/>
      <c r="W498" s="48"/>
      <c r="X498" s="48">
        <v>9900</v>
      </c>
      <c r="Y498" s="48"/>
      <c r="Z498" s="48"/>
      <c r="AA498" s="48"/>
      <c r="AB498" s="48"/>
      <c r="AC498" s="48">
        <v>2100</v>
      </c>
      <c r="AD498" s="48">
        <v>16100</v>
      </c>
      <c r="AE498" s="48"/>
      <c r="AF498" s="48"/>
      <c r="AG498" s="48"/>
      <c r="AH498" s="48">
        <v>300</v>
      </c>
      <c r="AI498" s="48"/>
    </row>
    <row r="499" spans="1:35" x14ac:dyDescent="0.25">
      <c r="A499" s="48">
        <v>4</v>
      </c>
      <c r="B499" s="176" t="s">
        <v>1084</v>
      </c>
      <c r="C499" s="176" t="s">
        <v>1083</v>
      </c>
      <c r="D499" s="150">
        <f t="shared" si="23"/>
        <v>5000</v>
      </c>
      <c r="E499" s="48"/>
      <c r="F499" s="48"/>
      <c r="G499" s="35"/>
      <c r="H499" s="35"/>
      <c r="I499" s="35"/>
      <c r="J499" s="35"/>
      <c r="K499" s="35"/>
      <c r="L499" s="35"/>
      <c r="M499" s="48"/>
      <c r="N499" s="48"/>
      <c r="O499" s="48"/>
      <c r="P499" s="48"/>
      <c r="Q499" s="48"/>
      <c r="R499" s="40"/>
      <c r="S499" s="40"/>
      <c r="T499" s="40"/>
      <c r="U499" s="40"/>
      <c r="V499" s="48"/>
      <c r="W499" s="48"/>
      <c r="X499" s="48"/>
      <c r="Y499" s="48"/>
      <c r="Z499" s="48"/>
      <c r="AA499" s="48"/>
      <c r="AB499" s="48">
        <v>5000</v>
      </c>
      <c r="AC499" s="48"/>
      <c r="AD499" s="48"/>
      <c r="AE499" s="48"/>
      <c r="AF499" s="48"/>
      <c r="AG499" s="48"/>
      <c r="AH499" s="48"/>
      <c r="AI499" s="48"/>
    </row>
    <row r="500" spans="1:35" x14ac:dyDescent="0.25">
      <c r="A500" s="48">
        <v>5</v>
      </c>
      <c r="B500" s="166" t="s">
        <v>491</v>
      </c>
      <c r="C500" s="166" t="s">
        <v>490</v>
      </c>
      <c r="D500" s="150">
        <f t="shared" si="23"/>
        <v>20000</v>
      </c>
      <c r="E500" s="48"/>
      <c r="F500" s="48"/>
      <c r="G500" s="35"/>
      <c r="H500" s="35"/>
      <c r="I500" s="35"/>
      <c r="J500" s="35"/>
      <c r="K500" s="35"/>
      <c r="L500" s="35"/>
      <c r="M500" s="48"/>
      <c r="N500" s="48"/>
      <c r="O500" s="48"/>
      <c r="P500" s="48"/>
      <c r="Q500" s="48"/>
      <c r="R500" s="40"/>
      <c r="S500" s="40"/>
      <c r="T500" s="40"/>
      <c r="U500" s="40"/>
      <c r="V500" s="48">
        <v>20000</v>
      </c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</row>
    <row r="501" spans="1:35" x14ac:dyDescent="0.25">
      <c r="A501" s="48">
        <v>6</v>
      </c>
      <c r="B501" s="166" t="s">
        <v>199</v>
      </c>
      <c r="C501" s="166" t="s">
        <v>198</v>
      </c>
      <c r="D501" s="150">
        <f t="shared" si="23"/>
        <v>184541</v>
      </c>
      <c r="E501" s="48"/>
      <c r="F501" s="48"/>
      <c r="G501" s="35"/>
      <c r="H501" s="35"/>
      <c r="I501" s="35">
        <v>30076</v>
      </c>
      <c r="J501" s="35"/>
      <c r="K501" s="35">
        <v>6930</v>
      </c>
      <c r="L501" s="35"/>
      <c r="M501" s="48"/>
      <c r="N501" s="48">
        <v>23750</v>
      </c>
      <c r="O501" s="48"/>
      <c r="P501" s="48">
        <v>29975</v>
      </c>
      <c r="Q501" s="48"/>
      <c r="R501" s="40"/>
      <c r="S501" s="40"/>
      <c r="T501" s="40"/>
      <c r="U501" s="40">
        <v>10605</v>
      </c>
      <c r="V501" s="48"/>
      <c r="W501" s="48"/>
      <c r="X501" s="48"/>
      <c r="Y501" s="48"/>
      <c r="Z501" s="48">
        <v>21350</v>
      </c>
      <c r="AA501" s="48">
        <v>13580</v>
      </c>
      <c r="AB501" s="48"/>
      <c r="AC501" s="48"/>
      <c r="AD501" s="48"/>
      <c r="AE501" s="48"/>
      <c r="AF501" s="48"/>
      <c r="AG501" s="48"/>
      <c r="AH501" s="48">
        <v>26260</v>
      </c>
      <c r="AI501" s="48">
        <v>22015</v>
      </c>
    </row>
    <row r="502" spans="1:35" x14ac:dyDescent="0.25">
      <c r="A502" s="48">
        <v>7</v>
      </c>
      <c r="B502" s="166" t="s">
        <v>477</v>
      </c>
      <c r="C502" s="166" t="s">
        <v>476</v>
      </c>
      <c r="D502" s="150">
        <f t="shared" si="23"/>
        <v>2000</v>
      </c>
      <c r="E502" s="48"/>
      <c r="F502" s="48"/>
      <c r="G502" s="35"/>
      <c r="H502" s="35"/>
      <c r="I502" s="35"/>
      <c r="J502" s="35"/>
      <c r="K502" s="35"/>
      <c r="L502" s="35"/>
      <c r="M502" s="48">
        <v>2000</v>
      </c>
      <c r="N502" s="48"/>
      <c r="O502" s="48"/>
      <c r="P502" s="48"/>
      <c r="Q502" s="48"/>
      <c r="R502" s="40"/>
      <c r="S502" s="40"/>
      <c r="T502" s="40"/>
      <c r="U502" s="40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</row>
    <row r="503" spans="1:35" x14ac:dyDescent="0.25">
      <c r="A503" s="48">
        <v>8</v>
      </c>
      <c r="B503" s="166" t="s">
        <v>845</v>
      </c>
      <c r="C503" s="166" t="s">
        <v>844</v>
      </c>
      <c r="D503" s="150">
        <f t="shared" si="23"/>
        <v>10900</v>
      </c>
      <c r="E503" s="48"/>
      <c r="F503" s="48"/>
      <c r="G503" s="35"/>
      <c r="H503" s="35"/>
      <c r="I503" s="35"/>
      <c r="J503" s="35"/>
      <c r="K503" s="35"/>
      <c r="L503" s="35"/>
      <c r="M503" s="48"/>
      <c r="N503" s="48"/>
      <c r="O503" s="48"/>
      <c r="P503" s="48"/>
      <c r="Q503" s="48"/>
      <c r="R503" s="40"/>
      <c r="S503" s="40"/>
      <c r="T503" s="40"/>
      <c r="U503" s="40"/>
      <c r="V503" s="48"/>
      <c r="W503" s="48"/>
      <c r="X503" s="48">
        <v>10900</v>
      </c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</row>
    <row r="504" spans="1:35" x14ac:dyDescent="0.25">
      <c r="A504" s="48">
        <v>9</v>
      </c>
      <c r="B504" s="166" t="s">
        <v>175</v>
      </c>
      <c r="C504" s="166" t="s">
        <v>174</v>
      </c>
      <c r="D504" s="150">
        <f t="shared" si="23"/>
        <v>6700</v>
      </c>
      <c r="E504" s="137"/>
      <c r="F504" s="137"/>
      <c r="G504" s="137"/>
      <c r="H504" s="137"/>
      <c r="I504" s="137"/>
      <c r="J504" s="137"/>
      <c r="K504" s="137"/>
      <c r="L504" s="35"/>
      <c r="M504" s="137"/>
      <c r="N504" s="137"/>
      <c r="O504" s="137">
        <v>2972</v>
      </c>
      <c r="P504" s="137">
        <v>828</v>
      </c>
      <c r="Q504" s="137">
        <v>2900</v>
      </c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</row>
    <row r="505" spans="1:35" x14ac:dyDescent="0.25">
      <c r="A505" s="48">
        <v>10</v>
      </c>
      <c r="B505" s="176" t="s">
        <v>852</v>
      </c>
      <c r="C505" s="176" t="s">
        <v>850</v>
      </c>
      <c r="D505" s="150">
        <f t="shared" si="23"/>
        <v>152</v>
      </c>
      <c r="E505" s="48">
        <v>32</v>
      </c>
      <c r="F505" s="48"/>
      <c r="G505" s="35"/>
      <c r="H505" s="35"/>
      <c r="I505" s="35"/>
      <c r="J505" s="35"/>
      <c r="K505" s="35"/>
      <c r="L505" s="35"/>
      <c r="M505" s="48"/>
      <c r="N505" s="48"/>
      <c r="O505" s="48"/>
      <c r="P505" s="48"/>
      <c r="Q505" s="48"/>
      <c r="R505" s="40"/>
      <c r="S505" s="40"/>
      <c r="T505" s="40"/>
      <c r="U505" s="40"/>
      <c r="V505" s="48"/>
      <c r="W505" s="48"/>
      <c r="X505" s="48"/>
      <c r="Y505" s="48"/>
      <c r="Z505" s="48"/>
      <c r="AA505" s="48"/>
      <c r="AB505" s="48"/>
      <c r="AC505" s="48">
        <v>84</v>
      </c>
      <c r="AD505" s="48"/>
      <c r="AE505" s="48">
        <v>36</v>
      </c>
      <c r="AF505" s="48"/>
      <c r="AG505" s="48"/>
      <c r="AH505" s="48"/>
      <c r="AI505" s="48"/>
    </row>
    <row r="506" spans="1:35" x14ac:dyDescent="0.25">
      <c r="A506" s="48">
        <v>11</v>
      </c>
      <c r="B506" s="176" t="s">
        <v>853</v>
      </c>
      <c r="C506" s="176" t="s">
        <v>851</v>
      </c>
      <c r="D506" s="150">
        <f t="shared" si="23"/>
        <v>46540</v>
      </c>
      <c r="E506" s="48"/>
      <c r="F506" s="48"/>
      <c r="G506" s="35"/>
      <c r="H506" s="35">
        <v>40</v>
      </c>
      <c r="I506" s="35"/>
      <c r="J506" s="35"/>
      <c r="K506" s="35"/>
      <c r="L506" s="35"/>
      <c r="M506" s="48"/>
      <c r="N506" s="48"/>
      <c r="O506" s="48"/>
      <c r="P506" s="48"/>
      <c r="Q506" s="48"/>
      <c r="R506" s="40"/>
      <c r="S506" s="40"/>
      <c r="T506" s="40"/>
      <c r="U506" s="40"/>
      <c r="V506" s="48"/>
      <c r="W506" s="48"/>
      <c r="X506" s="48"/>
      <c r="Y506" s="48"/>
      <c r="Z506" s="48"/>
      <c r="AA506" s="48"/>
      <c r="AB506" s="48">
        <f>20000+5040</f>
        <v>25040</v>
      </c>
      <c r="AC506" s="48">
        <v>21460</v>
      </c>
      <c r="AD506" s="48"/>
      <c r="AE506" s="48"/>
      <c r="AF506" s="48"/>
      <c r="AG506" s="48"/>
      <c r="AH506" s="48"/>
      <c r="AI506" s="49"/>
    </row>
    <row r="507" spans="1:35" x14ac:dyDescent="0.25">
      <c r="A507" s="48">
        <v>12</v>
      </c>
      <c r="B507" s="176" t="s">
        <v>855</v>
      </c>
      <c r="C507" s="176" t="s">
        <v>854</v>
      </c>
      <c r="D507" s="150">
        <f t="shared" si="23"/>
        <v>200</v>
      </c>
      <c r="E507" s="48"/>
      <c r="F507" s="48"/>
      <c r="G507" s="35"/>
      <c r="H507" s="35"/>
      <c r="I507" s="35"/>
      <c r="J507" s="35"/>
      <c r="K507" s="35"/>
      <c r="L507" s="35"/>
      <c r="M507" s="48"/>
      <c r="N507" s="48"/>
      <c r="O507" s="48"/>
      <c r="P507" s="48"/>
      <c r="Q507" s="48"/>
      <c r="R507" s="40"/>
      <c r="S507" s="40"/>
      <c r="T507" s="40"/>
      <c r="U507" s="40"/>
      <c r="V507" s="48"/>
      <c r="W507" s="48"/>
      <c r="X507" s="48">
        <v>200</v>
      </c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9"/>
    </row>
    <row r="508" spans="1:35" x14ac:dyDescent="0.25">
      <c r="A508" s="48">
        <v>13</v>
      </c>
      <c r="B508" s="166" t="s">
        <v>431</v>
      </c>
      <c r="C508" s="166" t="s">
        <v>430</v>
      </c>
      <c r="D508" s="150">
        <f t="shared" si="23"/>
        <v>900</v>
      </c>
      <c r="E508" s="48"/>
      <c r="F508" s="48"/>
      <c r="G508" s="35"/>
      <c r="H508" s="35"/>
      <c r="I508" s="35"/>
      <c r="J508" s="35"/>
      <c r="K508" s="35"/>
      <c r="L508" s="35"/>
      <c r="M508" s="48"/>
      <c r="N508" s="48"/>
      <c r="O508" s="48"/>
      <c r="P508" s="48"/>
      <c r="Q508" s="48"/>
      <c r="R508" s="40"/>
      <c r="S508" s="40"/>
      <c r="T508" s="40"/>
      <c r="U508" s="40"/>
      <c r="V508" s="48"/>
      <c r="W508" s="48"/>
      <c r="X508" s="48"/>
      <c r="Y508" s="48"/>
      <c r="Z508" s="48"/>
      <c r="AA508" s="48"/>
      <c r="AB508" s="48">
        <v>704</v>
      </c>
      <c r="AC508" s="48">
        <v>196</v>
      </c>
      <c r="AD508" s="48"/>
      <c r="AE508" s="48"/>
      <c r="AF508" s="48"/>
      <c r="AG508" s="48"/>
      <c r="AH508" s="48"/>
      <c r="AI508" s="49"/>
    </row>
    <row r="509" spans="1:35" ht="15.75" x14ac:dyDescent="0.25">
      <c r="A509" s="48">
        <v>14</v>
      </c>
      <c r="B509" s="166" t="s">
        <v>459</v>
      </c>
      <c r="C509" s="155" t="s">
        <v>458</v>
      </c>
      <c r="D509" s="150">
        <f t="shared" si="23"/>
        <v>9350</v>
      </c>
      <c r="E509" s="48"/>
      <c r="F509" s="48"/>
      <c r="G509" s="35"/>
      <c r="H509" s="35"/>
      <c r="I509" s="35"/>
      <c r="J509" s="35"/>
      <c r="K509" s="35"/>
      <c r="L509" s="35"/>
      <c r="M509" s="48"/>
      <c r="N509" s="48"/>
      <c r="O509" s="48"/>
      <c r="P509" s="48"/>
      <c r="Q509" s="48">
        <v>9000</v>
      </c>
      <c r="R509" s="40"/>
      <c r="S509" s="40"/>
      <c r="T509" s="40"/>
      <c r="U509" s="40"/>
      <c r="V509" s="48"/>
      <c r="W509" s="48"/>
      <c r="X509" s="48">
        <v>350</v>
      </c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9"/>
    </row>
    <row r="510" spans="1:35" x14ac:dyDescent="0.25">
      <c r="A510" s="48">
        <v>15</v>
      </c>
      <c r="B510" s="166" t="s">
        <v>391</v>
      </c>
      <c r="C510" s="166" t="s">
        <v>390</v>
      </c>
      <c r="D510" s="150">
        <f t="shared" si="23"/>
        <v>3420</v>
      </c>
      <c r="E510" s="48"/>
      <c r="F510" s="48"/>
      <c r="G510" s="35"/>
      <c r="H510" s="35"/>
      <c r="I510" s="35">
        <v>480</v>
      </c>
      <c r="J510" s="35">
        <v>228</v>
      </c>
      <c r="K510" s="35">
        <v>480</v>
      </c>
      <c r="L510" s="35"/>
      <c r="M510" s="48"/>
      <c r="N510" s="48"/>
      <c r="O510" s="48"/>
      <c r="P510" s="48"/>
      <c r="Q510" s="48"/>
      <c r="R510" s="40"/>
      <c r="S510" s="40"/>
      <c r="T510" s="40"/>
      <c r="U510" s="40">
        <v>588</v>
      </c>
      <c r="V510" s="48">
        <v>804</v>
      </c>
      <c r="W510" s="48">
        <v>240</v>
      </c>
      <c r="X510" s="48">
        <v>130</v>
      </c>
      <c r="Y510" s="48"/>
      <c r="Z510" s="48"/>
      <c r="AA510" s="48">
        <v>50</v>
      </c>
      <c r="AB510" s="48"/>
      <c r="AC510" s="48">
        <v>420</v>
      </c>
      <c r="AD510" s="48"/>
      <c r="AE510" s="48"/>
      <c r="AF510" s="48"/>
      <c r="AG510" s="48"/>
      <c r="AH510" s="48"/>
      <c r="AI510" s="49"/>
    </row>
    <row r="511" spans="1:35" x14ac:dyDescent="0.25">
      <c r="A511" s="48">
        <v>16</v>
      </c>
      <c r="B511" s="166" t="s">
        <v>873</v>
      </c>
      <c r="C511" s="166" t="s">
        <v>872</v>
      </c>
      <c r="D511" s="150">
        <f t="shared" si="23"/>
        <v>600</v>
      </c>
      <c r="E511" s="48"/>
      <c r="F511" s="48"/>
      <c r="G511" s="35"/>
      <c r="H511" s="35"/>
      <c r="I511" s="35"/>
      <c r="J511" s="35"/>
      <c r="K511" s="35"/>
      <c r="L511" s="35"/>
      <c r="M511" s="48"/>
      <c r="N511" s="48"/>
      <c r="O511" s="48"/>
      <c r="P511" s="48">
        <v>600</v>
      </c>
      <c r="Q511" s="48"/>
      <c r="R511" s="40"/>
      <c r="S511" s="40"/>
      <c r="T511" s="40"/>
      <c r="U511" s="40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9"/>
    </row>
    <row r="512" spans="1:35" x14ac:dyDescent="0.25">
      <c r="A512" s="48">
        <v>17</v>
      </c>
      <c r="B512" s="176" t="s">
        <v>881</v>
      </c>
      <c r="C512" s="176" t="s">
        <v>880</v>
      </c>
      <c r="D512" s="150">
        <f t="shared" si="23"/>
        <v>2500</v>
      </c>
      <c r="E512" s="48"/>
      <c r="F512" s="48"/>
      <c r="G512" s="35"/>
      <c r="H512" s="35"/>
      <c r="I512" s="35"/>
      <c r="J512" s="35">
        <v>2500</v>
      </c>
      <c r="K512" s="35"/>
      <c r="L512" s="35"/>
      <c r="M512" s="48"/>
      <c r="N512" s="48"/>
      <c r="O512" s="48"/>
      <c r="P512" s="48"/>
      <c r="Q512" s="48"/>
      <c r="R512" s="40"/>
      <c r="S512" s="40"/>
      <c r="T512" s="40"/>
      <c r="U512" s="40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9"/>
    </row>
    <row r="513" spans="1:35" x14ac:dyDescent="0.25">
      <c r="A513" s="48">
        <v>18</v>
      </c>
      <c r="B513" s="176" t="s">
        <v>909</v>
      </c>
      <c r="C513" s="176" t="s">
        <v>908</v>
      </c>
      <c r="D513" s="150">
        <f t="shared" si="23"/>
        <v>0</v>
      </c>
      <c r="E513" s="48"/>
      <c r="F513" s="48"/>
      <c r="G513" s="35"/>
      <c r="H513" s="35"/>
      <c r="I513" s="35"/>
      <c r="J513" s="35"/>
      <c r="K513" s="35"/>
      <c r="L513" s="35"/>
      <c r="M513" s="48"/>
      <c r="N513" s="48"/>
      <c r="O513" s="48"/>
      <c r="P513" s="48"/>
      <c r="Q513" s="48"/>
      <c r="R513" s="40"/>
      <c r="S513" s="40"/>
      <c r="T513" s="40"/>
      <c r="U513" s="40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9"/>
    </row>
    <row r="514" spans="1:35" x14ac:dyDescent="0.25">
      <c r="A514" s="48">
        <v>19</v>
      </c>
      <c r="B514" s="176" t="s">
        <v>911</v>
      </c>
      <c r="C514" s="176" t="s">
        <v>910</v>
      </c>
      <c r="D514" s="150">
        <f t="shared" si="23"/>
        <v>0</v>
      </c>
      <c r="E514" s="48"/>
      <c r="F514" s="48"/>
      <c r="G514" s="35"/>
      <c r="H514" s="35"/>
      <c r="I514" s="35"/>
      <c r="J514" s="35"/>
      <c r="K514" s="35"/>
      <c r="L514" s="35"/>
      <c r="M514" s="48"/>
      <c r="N514" s="48"/>
      <c r="O514" s="48"/>
      <c r="P514" s="48"/>
      <c r="Q514" s="48"/>
      <c r="R514" s="40"/>
      <c r="S514" s="40"/>
      <c r="T514" s="40"/>
      <c r="U514" s="40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9"/>
    </row>
    <row r="515" spans="1:35" x14ac:dyDescent="0.25">
      <c r="A515" s="48">
        <v>20</v>
      </c>
      <c r="B515" s="166" t="s">
        <v>513</v>
      </c>
      <c r="C515" s="166" t="s">
        <v>514</v>
      </c>
      <c r="D515" s="150">
        <f t="shared" si="23"/>
        <v>2000</v>
      </c>
      <c r="E515" s="48"/>
      <c r="F515" s="48"/>
      <c r="G515" s="35"/>
      <c r="H515" s="35"/>
      <c r="I515" s="35"/>
      <c r="J515" s="35">
        <v>2000</v>
      </c>
      <c r="K515" s="35"/>
      <c r="L515" s="35"/>
      <c r="M515" s="48"/>
      <c r="N515" s="48"/>
      <c r="O515" s="48"/>
      <c r="P515" s="48"/>
      <c r="Q515" s="48"/>
      <c r="R515" s="40"/>
      <c r="S515" s="40"/>
      <c r="T515" s="40"/>
      <c r="U515" s="40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9"/>
    </row>
    <row r="516" spans="1:35" x14ac:dyDescent="0.25">
      <c r="A516" s="48">
        <v>21</v>
      </c>
      <c r="B516" s="166" t="s">
        <v>957</v>
      </c>
      <c r="C516" s="166" t="s">
        <v>956</v>
      </c>
      <c r="D516" s="150">
        <f t="shared" si="23"/>
        <v>0</v>
      </c>
      <c r="E516" s="48"/>
      <c r="F516" s="48"/>
      <c r="G516" s="35"/>
      <c r="H516" s="35"/>
      <c r="I516" s="35"/>
      <c r="J516" s="35"/>
      <c r="K516" s="35"/>
      <c r="L516" s="35"/>
      <c r="M516" s="48"/>
      <c r="N516" s="48"/>
      <c r="O516" s="48"/>
      <c r="P516" s="48"/>
      <c r="Q516" s="48"/>
      <c r="R516" s="40"/>
      <c r="S516" s="40"/>
      <c r="T516" s="40"/>
      <c r="U516" s="40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9"/>
    </row>
    <row r="517" spans="1:35" x14ac:dyDescent="0.25">
      <c r="A517" s="48">
        <v>22</v>
      </c>
      <c r="B517" s="166" t="s">
        <v>403</v>
      </c>
      <c r="C517" s="166" t="s">
        <v>405</v>
      </c>
      <c r="D517" s="150">
        <f t="shared" si="23"/>
        <v>0</v>
      </c>
      <c r="E517" s="48"/>
      <c r="F517" s="48"/>
      <c r="G517" s="35"/>
      <c r="H517" s="35"/>
      <c r="I517" s="35"/>
      <c r="J517" s="35"/>
      <c r="K517" s="35"/>
      <c r="L517" s="35"/>
      <c r="M517" s="48"/>
      <c r="N517" s="48"/>
      <c r="O517" s="48"/>
      <c r="P517" s="48"/>
      <c r="Q517" s="48"/>
      <c r="R517" s="40"/>
      <c r="S517" s="40"/>
      <c r="T517" s="40"/>
      <c r="U517" s="40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9"/>
    </row>
    <row r="518" spans="1:35" x14ac:dyDescent="0.25">
      <c r="A518" s="48">
        <v>23</v>
      </c>
      <c r="B518" s="166" t="s">
        <v>404</v>
      </c>
      <c r="C518" s="166" t="s">
        <v>406</v>
      </c>
      <c r="D518" s="150">
        <f t="shared" si="23"/>
        <v>48</v>
      </c>
      <c r="E518" s="48"/>
      <c r="F518" s="48"/>
      <c r="G518" s="35">
        <v>48</v>
      </c>
      <c r="H518" s="35"/>
      <c r="I518" s="35"/>
      <c r="J518" s="35"/>
      <c r="K518" s="35"/>
      <c r="L518" s="35"/>
      <c r="M518" s="48"/>
      <c r="N518" s="48"/>
      <c r="O518" s="48"/>
      <c r="P518" s="48"/>
      <c r="Q518" s="48"/>
      <c r="R518" s="40"/>
      <c r="S518" s="40"/>
      <c r="T518" s="40"/>
      <c r="U518" s="40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9"/>
    </row>
    <row r="519" spans="1:35" x14ac:dyDescent="0.25">
      <c r="A519" s="48">
        <v>24</v>
      </c>
      <c r="B519" s="176" t="s">
        <v>959</v>
      </c>
      <c r="C519" s="176" t="s">
        <v>958</v>
      </c>
      <c r="D519" s="150">
        <f t="shared" si="23"/>
        <v>7911</v>
      </c>
      <c r="E519" s="48"/>
      <c r="F519" s="48"/>
      <c r="G519" s="35">
        <v>7911</v>
      </c>
      <c r="H519" s="35"/>
      <c r="I519" s="35"/>
      <c r="J519" s="35"/>
      <c r="K519" s="35"/>
      <c r="L519" s="35"/>
      <c r="M519" s="48"/>
      <c r="N519" s="48"/>
      <c r="O519" s="48"/>
      <c r="P519" s="48"/>
      <c r="Q519" s="48"/>
      <c r="R519" s="40"/>
      <c r="S519" s="40"/>
      <c r="T519" s="40"/>
      <c r="U519" s="40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9"/>
    </row>
    <row r="520" spans="1:35" x14ac:dyDescent="0.25">
      <c r="A520" s="48">
        <v>25</v>
      </c>
      <c r="B520" s="166" t="s">
        <v>641</v>
      </c>
      <c r="C520" s="166" t="s">
        <v>639</v>
      </c>
      <c r="D520" s="150">
        <f t="shared" si="23"/>
        <v>1030</v>
      </c>
      <c r="E520" s="48"/>
      <c r="F520" s="48"/>
      <c r="G520" s="35"/>
      <c r="H520" s="35"/>
      <c r="I520" s="35"/>
      <c r="J520" s="35"/>
      <c r="K520" s="35"/>
      <c r="L520" s="35"/>
      <c r="M520" s="48"/>
      <c r="N520" s="48"/>
      <c r="O520" s="48"/>
      <c r="P520" s="48"/>
      <c r="Q520" s="48"/>
      <c r="R520" s="40"/>
      <c r="S520" s="40"/>
      <c r="T520" s="40"/>
      <c r="U520" s="40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>
        <v>1030</v>
      </c>
      <c r="AG520" s="48"/>
      <c r="AH520" s="48"/>
      <c r="AI520" s="49"/>
    </row>
    <row r="521" spans="1:35" x14ac:dyDescent="0.25">
      <c r="A521" s="48">
        <v>26</v>
      </c>
      <c r="B521" s="166" t="s">
        <v>642</v>
      </c>
      <c r="C521" s="166" t="s">
        <v>640</v>
      </c>
      <c r="D521" s="150">
        <f t="shared" si="23"/>
        <v>0</v>
      </c>
      <c r="E521" s="48"/>
      <c r="F521" s="48"/>
      <c r="G521" s="35"/>
      <c r="H521" s="35"/>
      <c r="I521" s="35"/>
      <c r="J521" s="35"/>
      <c r="K521" s="35"/>
      <c r="L521" s="35"/>
      <c r="M521" s="48"/>
      <c r="N521" s="48"/>
      <c r="O521" s="48"/>
      <c r="P521" s="48"/>
      <c r="Q521" s="48"/>
      <c r="R521" s="40"/>
      <c r="S521" s="40"/>
      <c r="T521" s="40"/>
      <c r="U521" s="40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9"/>
    </row>
    <row r="522" spans="1:35" x14ac:dyDescent="0.25">
      <c r="A522" s="48">
        <v>27</v>
      </c>
      <c r="B522" s="166" t="s">
        <v>366</v>
      </c>
      <c r="C522" s="166" t="s">
        <v>365</v>
      </c>
      <c r="D522" s="150">
        <f t="shared" si="23"/>
        <v>0</v>
      </c>
      <c r="E522" s="48"/>
      <c r="F522" s="48"/>
      <c r="G522" s="35"/>
      <c r="H522" s="35"/>
      <c r="I522" s="35"/>
      <c r="J522" s="35"/>
      <c r="K522" s="35"/>
      <c r="L522" s="35"/>
      <c r="M522" s="48"/>
      <c r="N522" s="48"/>
      <c r="O522" s="48"/>
      <c r="P522" s="48"/>
      <c r="Q522" s="48"/>
      <c r="R522" s="40"/>
      <c r="S522" s="40"/>
      <c r="T522" s="40"/>
      <c r="U522" s="40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9"/>
    </row>
    <row r="523" spans="1:35" x14ac:dyDescent="0.25">
      <c r="A523" s="48">
        <v>28</v>
      </c>
      <c r="B523" s="166" t="s">
        <v>218</v>
      </c>
      <c r="C523" s="166" t="s">
        <v>217</v>
      </c>
      <c r="D523" s="150">
        <f t="shared" si="23"/>
        <v>350</v>
      </c>
      <c r="E523" s="48"/>
      <c r="F523" s="48"/>
      <c r="G523" s="35"/>
      <c r="H523" s="35"/>
      <c r="I523" s="35"/>
      <c r="J523" s="35"/>
      <c r="K523" s="35"/>
      <c r="L523" s="35"/>
      <c r="M523" s="48"/>
      <c r="N523" s="48"/>
      <c r="O523" s="48"/>
      <c r="P523" s="48"/>
      <c r="Q523" s="48"/>
      <c r="R523" s="40"/>
      <c r="S523" s="40"/>
      <c r="T523" s="40"/>
      <c r="U523" s="40"/>
      <c r="V523" s="48"/>
      <c r="W523" s="48"/>
      <c r="X523" s="48">
        <v>350</v>
      </c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9"/>
    </row>
    <row r="524" spans="1:35" x14ac:dyDescent="0.25">
      <c r="A524" s="48">
        <v>29</v>
      </c>
      <c r="B524" s="166" t="s">
        <v>426</v>
      </c>
      <c r="C524" s="166" t="s">
        <v>427</v>
      </c>
      <c r="D524" s="150">
        <f t="shared" si="23"/>
        <v>0</v>
      </c>
      <c r="E524" s="48"/>
      <c r="F524" s="48"/>
      <c r="G524" s="35"/>
      <c r="H524" s="35"/>
      <c r="I524" s="35"/>
      <c r="J524" s="35"/>
      <c r="K524" s="35"/>
      <c r="L524" s="35"/>
      <c r="M524" s="48"/>
      <c r="N524" s="48"/>
      <c r="O524" s="48"/>
      <c r="P524" s="48"/>
      <c r="Q524" s="48"/>
      <c r="R524" s="40"/>
      <c r="S524" s="40"/>
      <c r="T524" s="40"/>
      <c r="U524" s="40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9"/>
    </row>
    <row r="525" spans="1:35" x14ac:dyDescent="0.25">
      <c r="A525" s="48">
        <v>30</v>
      </c>
      <c r="B525" s="166" t="s">
        <v>130</v>
      </c>
      <c r="C525" s="166" t="s">
        <v>129</v>
      </c>
      <c r="D525" s="150">
        <f t="shared" si="23"/>
        <v>0</v>
      </c>
      <c r="E525" s="48"/>
      <c r="F525" s="48"/>
      <c r="G525" s="35"/>
      <c r="H525" s="35"/>
      <c r="I525" s="35"/>
      <c r="J525" s="35"/>
      <c r="K525" s="35"/>
      <c r="L525" s="35"/>
      <c r="M525" s="48"/>
      <c r="N525" s="48"/>
      <c r="O525" s="48"/>
      <c r="P525" s="48"/>
      <c r="Q525" s="48"/>
      <c r="R525" s="40"/>
      <c r="S525" s="40"/>
      <c r="T525" s="40"/>
      <c r="U525" s="40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9"/>
    </row>
    <row r="526" spans="1:35" x14ac:dyDescent="0.25">
      <c r="A526" s="48">
        <v>31</v>
      </c>
      <c r="B526" s="166" t="s">
        <v>724</v>
      </c>
      <c r="C526" s="166" t="s">
        <v>721</v>
      </c>
      <c r="D526" s="150">
        <f t="shared" si="23"/>
        <v>1500</v>
      </c>
      <c r="E526" s="48"/>
      <c r="F526" s="48"/>
      <c r="G526" s="35"/>
      <c r="H526" s="35"/>
      <c r="I526" s="35"/>
      <c r="J526" s="35"/>
      <c r="K526" s="35"/>
      <c r="L526" s="35"/>
      <c r="M526" s="48"/>
      <c r="N526" s="48"/>
      <c r="O526" s="48"/>
      <c r="P526" s="48"/>
      <c r="Q526" s="48"/>
      <c r="R526" s="40"/>
      <c r="S526" s="40"/>
      <c r="T526" s="40"/>
      <c r="U526" s="40"/>
      <c r="V526" s="48"/>
      <c r="W526" s="48"/>
      <c r="X526" s="48">
        <v>1500</v>
      </c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9"/>
    </row>
    <row r="527" spans="1:35" x14ac:dyDescent="0.25">
      <c r="A527" s="48">
        <v>32</v>
      </c>
      <c r="B527" s="166" t="s">
        <v>725</v>
      </c>
      <c r="C527" s="166" t="s">
        <v>722</v>
      </c>
      <c r="D527" s="150">
        <f t="shared" si="23"/>
        <v>500</v>
      </c>
      <c r="E527" s="48"/>
      <c r="F527" s="48"/>
      <c r="G527" s="35"/>
      <c r="H527" s="35"/>
      <c r="I527" s="35"/>
      <c r="J527" s="35"/>
      <c r="K527" s="35"/>
      <c r="L527" s="35"/>
      <c r="M527" s="48"/>
      <c r="N527" s="48"/>
      <c r="O527" s="48"/>
      <c r="P527" s="48"/>
      <c r="Q527" s="48"/>
      <c r="R527" s="40"/>
      <c r="S527" s="40"/>
      <c r="T527" s="40"/>
      <c r="U527" s="40"/>
      <c r="V527" s="48"/>
      <c r="W527" s="48"/>
      <c r="X527" s="48"/>
      <c r="Y527" s="48">
        <v>500</v>
      </c>
      <c r="Z527" s="48"/>
      <c r="AA527" s="48"/>
      <c r="AB527" s="48"/>
      <c r="AC527" s="48"/>
      <c r="AD527" s="48"/>
      <c r="AE527" s="48"/>
      <c r="AF527" s="48"/>
      <c r="AG527" s="48"/>
      <c r="AH527" s="48"/>
      <c r="AI527" s="49"/>
    </row>
    <row r="528" spans="1:35" x14ac:dyDescent="0.25">
      <c r="A528" s="48">
        <v>33</v>
      </c>
      <c r="B528" s="166" t="s">
        <v>726</v>
      </c>
      <c r="C528" s="166" t="s">
        <v>723</v>
      </c>
      <c r="D528" s="150">
        <f t="shared" si="23"/>
        <v>0</v>
      </c>
      <c r="E528" s="48"/>
      <c r="F528" s="48"/>
      <c r="G528" s="35"/>
      <c r="H528" s="35"/>
      <c r="I528" s="35"/>
      <c r="J528" s="35"/>
      <c r="K528" s="35"/>
      <c r="L528" s="35"/>
      <c r="M528" s="48"/>
      <c r="N528" s="48"/>
      <c r="O528" s="48"/>
      <c r="P528" s="48"/>
      <c r="Q528" s="48"/>
      <c r="R528" s="40"/>
      <c r="S528" s="40"/>
      <c r="T528" s="40"/>
      <c r="U528" s="40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9"/>
    </row>
    <row r="529" spans="1:35" x14ac:dyDescent="0.25">
      <c r="A529" s="48">
        <v>34</v>
      </c>
      <c r="B529" s="166" t="s">
        <v>260</v>
      </c>
      <c r="C529" s="166" t="s">
        <v>259</v>
      </c>
      <c r="D529" s="150">
        <f t="shared" si="23"/>
        <v>2850</v>
      </c>
      <c r="E529" s="48"/>
      <c r="F529" s="48"/>
      <c r="G529" s="35"/>
      <c r="H529" s="35"/>
      <c r="I529" s="35"/>
      <c r="J529" s="35"/>
      <c r="K529" s="35"/>
      <c r="L529" s="35"/>
      <c r="M529" s="48"/>
      <c r="N529" s="48"/>
      <c r="O529" s="48"/>
      <c r="P529" s="48"/>
      <c r="Q529" s="48"/>
      <c r="R529" s="40"/>
      <c r="S529" s="40"/>
      <c r="T529" s="40"/>
      <c r="U529" s="40"/>
      <c r="V529" s="48"/>
      <c r="W529" s="48"/>
      <c r="X529" s="48">
        <v>2850</v>
      </c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9"/>
    </row>
    <row r="530" spans="1:35" x14ac:dyDescent="0.25">
      <c r="A530" s="48">
        <v>35</v>
      </c>
      <c r="B530" s="166" t="s">
        <v>171</v>
      </c>
      <c r="C530" s="166" t="s">
        <v>170</v>
      </c>
      <c r="D530" s="150">
        <f t="shared" si="23"/>
        <v>0</v>
      </c>
      <c r="E530" s="48"/>
      <c r="F530" s="48"/>
      <c r="G530" s="35"/>
      <c r="H530" s="35"/>
      <c r="I530" s="35"/>
      <c r="J530" s="35"/>
      <c r="K530" s="35"/>
      <c r="L530" s="35"/>
      <c r="M530" s="48"/>
      <c r="N530" s="48"/>
      <c r="O530" s="48"/>
      <c r="P530" s="48"/>
      <c r="Q530" s="48"/>
      <c r="R530" s="40"/>
      <c r="S530" s="40"/>
      <c r="T530" s="40"/>
      <c r="U530" s="40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9"/>
    </row>
    <row r="531" spans="1:35" x14ac:dyDescent="0.25">
      <c r="A531" s="48">
        <v>36</v>
      </c>
      <c r="B531" s="166" t="s">
        <v>645</v>
      </c>
      <c r="C531" s="166" t="s">
        <v>643</v>
      </c>
      <c r="D531" s="150">
        <f t="shared" si="23"/>
        <v>100</v>
      </c>
      <c r="E531" s="48"/>
      <c r="F531" s="48"/>
      <c r="G531" s="35"/>
      <c r="H531" s="35">
        <v>100</v>
      </c>
      <c r="I531" s="35"/>
      <c r="J531" s="35"/>
      <c r="K531" s="35"/>
      <c r="L531" s="35"/>
      <c r="M531" s="48"/>
      <c r="N531" s="48"/>
      <c r="O531" s="48"/>
      <c r="P531" s="48"/>
      <c r="Q531" s="48"/>
      <c r="R531" s="40"/>
      <c r="S531" s="40"/>
      <c r="T531" s="40"/>
      <c r="U531" s="40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</row>
    <row r="532" spans="1:35" x14ac:dyDescent="0.25">
      <c r="A532" s="48">
        <v>37</v>
      </c>
      <c r="B532" s="166" t="s">
        <v>646</v>
      </c>
      <c r="C532" s="166" t="s">
        <v>644</v>
      </c>
      <c r="D532" s="150">
        <f t="shared" si="23"/>
        <v>0</v>
      </c>
      <c r="E532" s="48"/>
      <c r="F532" s="48"/>
      <c r="G532" s="35"/>
      <c r="H532" s="35"/>
      <c r="I532" s="35"/>
      <c r="J532" s="35"/>
      <c r="K532" s="35"/>
      <c r="L532" s="35"/>
      <c r="M532" s="48"/>
      <c r="N532" s="48"/>
      <c r="O532" s="48"/>
      <c r="P532" s="48"/>
      <c r="Q532" s="48"/>
      <c r="R532" s="40"/>
      <c r="S532" s="40"/>
      <c r="T532" s="40"/>
      <c r="U532" s="40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</row>
    <row r="533" spans="1:35" x14ac:dyDescent="0.25">
      <c r="A533" s="48">
        <v>38</v>
      </c>
      <c r="B533" s="176" t="s">
        <v>1116</v>
      </c>
      <c r="C533" s="176" t="s">
        <v>1115</v>
      </c>
      <c r="D533" s="150">
        <f t="shared" si="23"/>
        <v>500</v>
      </c>
      <c r="E533" s="48"/>
      <c r="F533" s="48"/>
      <c r="G533" s="35"/>
      <c r="H533" s="35"/>
      <c r="I533" s="35"/>
      <c r="J533" s="35"/>
      <c r="K533" s="35"/>
      <c r="L533" s="35"/>
      <c r="M533" s="48"/>
      <c r="N533" s="48"/>
      <c r="O533" s="48"/>
      <c r="P533" s="48"/>
      <c r="Q533" s="48"/>
      <c r="R533" s="40"/>
      <c r="S533" s="40"/>
      <c r="T533" s="40"/>
      <c r="U533" s="40"/>
      <c r="V533" s="48"/>
      <c r="W533" s="48"/>
      <c r="X533" s="48"/>
      <c r="Y533" s="48"/>
      <c r="Z533" s="48">
        <v>500</v>
      </c>
      <c r="AA533" s="48"/>
      <c r="AB533" s="48"/>
      <c r="AC533" s="48"/>
      <c r="AD533" s="48"/>
      <c r="AE533" s="48"/>
      <c r="AF533" s="48"/>
      <c r="AG533" s="48"/>
      <c r="AH533" s="48"/>
      <c r="AI533" s="48"/>
    </row>
    <row r="534" spans="1:35" x14ac:dyDescent="0.25">
      <c r="A534" s="48">
        <v>39</v>
      </c>
      <c r="B534" s="166" t="s">
        <v>531</v>
      </c>
      <c r="C534" s="166" t="s">
        <v>530</v>
      </c>
      <c r="D534" s="150">
        <f t="shared" si="23"/>
        <v>0</v>
      </c>
      <c r="E534" s="48"/>
      <c r="F534" s="48"/>
      <c r="G534" s="35"/>
      <c r="H534" s="35"/>
      <c r="I534" s="35"/>
      <c r="J534" s="35"/>
      <c r="K534" s="35"/>
      <c r="L534" s="35"/>
      <c r="M534" s="48"/>
      <c r="N534" s="48"/>
      <c r="O534" s="48"/>
      <c r="P534" s="48"/>
      <c r="Q534" s="48"/>
      <c r="R534" s="40"/>
      <c r="S534" s="40"/>
      <c r="T534" s="40"/>
      <c r="U534" s="40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</row>
    <row r="535" spans="1:35" x14ac:dyDescent="0.25">
      <c r="A535" s="48">
        <v>40</v>
      </c>
      <c r="B535" s="166" t="s">
        <v>183</v>
      </c>
      <c r="C535" s="166" t="s">
        <v>182</v>
      </c>
      <c r="D535" s="150">
        <f t="shared" si="23"/>
        <v>0</v>
      </c>
      <c r="E535" s="48"/>
      <c r="F535" s="48"/>
      <c r="G535" s="35"/>
      <c r="H535" s="35"/>
      <c r="I535" s="35"/>
      <c r="J535" s="35"/>
      <c r="K535" s="35"/>
      <c r="L535" s="35"/>
      <c r="M535" s="48"/>
      <c r="N535" s="48"/>
      <c r="O535" s="48"/>
      <c r="P535" s="48"/>
      <c r="Q535" s="48"/>
      <c r="R535" s="40"/>
      <c r="S535" s="40"/>
      <c r="T535" s="40"/>
      <c r="U535" s="40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</row>
    <row r="536" spans="1:35" x14ac:dyDescent="0.25">
      <c r="A536" s="141" t="s">
        <v>140</v>
      </c>
      <c r="B536" s="33" t="s">
        <v>97</v>
      </c>
      <c r="C536" s="141" t="s">
        <v>141</v>
      </c>
      <c r="D536" s="145">
        <f t="shared" ref="D536:AI536" si="24">SUM(D537:D577)</f>
        <v>400000</v>
      </c>
      <c r="E536" s="145">
        <f t="shared" si="24"/>
        <v>36000</v>
      </c>
      <c r="F536" s="145">
        <f t="shared" si="24"/>
        <v>0</v>
      </c>
      <c r="G536" s="145">
        <f t="shared" si="24"/>
        <v>12000</v>
      </c>
      <c r="H536" s="145">
        <f t="shared" si="24"/>
        <v>12000</v>
      </c>
      <c r="I536" s="145">
        <f t="shared" si="24"/>
        <v>25500</v>
      </c>
      <c r="J536" s="145">
        <f t="shared" si="24"/>
        <v>15300</v>
      </c>
      <c r="K536" s="145">
        <f t="shared" si="24"/>
        <v>15300</v>
      </c>
      <c r="L536" s="145">
        <f t="shared" si="24"/>
        <v>23850</v>
      </c>
      <c r="M536" s="145">
        <f t="shared" si="24"/>
        <v>5150</v>
      </c>
      <c r="N536" s="145">
        <f t="shared" si="24"/>
        <v>0</v>
      </c>
      <c r="O536" s="145">
        <f t="shared" si="24"/>
        <v>26500</v>
      </c>
      <c r="P536" s="145">
        <f t="shared" si="24"/>
        <v>23800</v>
      </c>
      <c r="Q536" s="145">
        <f t="shared" si="24"/>
        <v>5100</v>
      </c>
      <c r="R536" s="145">
        <f t="shared" si="24"/>
        <v>0</v>
      </c>
      <c r="S536" s="145">
        <f t="shared" si="24"/>
        <v>0</v>
      </c>
      <c r="T536" s="145">
        <f t="shared" si="24"/>
        <v>0</v>
      </c>
      <c r="U536" s="170">
        <f t="shared" si="24"/>
        <v>20300</v>
      </c>
      <c r="V536" s="145">
        <f t="shared" si="24"/>
        <v>21300</v>
      </c>
      <c r="W536" s="145">
        <f t="shared" si="24"/>
        <v>7140</v>
      </c>
      <c r="X536" s="145">
        <f t="shared" si="24"/>
        <v>29060</v>
      </c>
      <c r="Y536" s="145">
        <f t="shared" si="24"/>
        <v>16700</v>
      </c>
      <c r="Z536" s="145">
        <f t="shared" si="24"/>
        <v>12520</v>
      </c>
      <c r="AA536" s="145">
        <f t="shared" si="24"/>
        <v>15580</v>
      </c>
      <c r="AB536" s="145">
        <f t="shared" si="24"/>
        <v>20000</v>
      </c>
      <c r="AC536" s="145">
        <f t="shared" si="24"/>
        <v>26900</v>
      </c>
      <c r="AD536" s="145">
        <f t="shared" si="24"/>
        <v>20000</v>
      </c>
      <c r="AE536" s="145">
        <f t="shared" si="24"/>
        <v>10000</v>
      </c>
      <c r="AF536" s="145">
        <f t="shared" si="24"/>
        <v>0</v>
      </c>
      <c r="AG536" s="145">
        <f t="shared" si="24"/>
        <v>0</v>
      </c>
      <c r="AH536" s="145">
        <f t="shared" si="24"/>
        <v>0</v>
      </c>
      <c r="AI536" s="145">
        <f t="shared" si="24"/>
        <v>0</v>
      </c>
    </row>
    <row r="537" spans="1:35" x14ac:dyDescent="0.25">
      <c r="A537" s="48">
        <v>1</v>
      </c>
      <c r="B537" s="166" t="s">
        <v>790</v>
      </c>
      <c r="C537" s="166" t="s">
        <v>785</v>
      </c>
      <c r="D537" s="150">
        <f t="shared" ref="D537:D577" si="25">SUM(E537:AI537)</f>
        <v>22500</v>
      </c>
      <c r="E537" s="48"/>
      <c r="F537" s="48"/>
      <c r="G537" s="35"/>
      <c r="H537" s="35"/>
      <c r="I537" s="35"/>
      <c r="J537" s="35"/>
      <c r="K537" s="35"/>
      <c r="L537" s="35"/>
      <c r="M537" s="48"/>
      <c r="N537" s="48"/>
      <c r="O537" s="48"/>
      <c r="P537" s="48"/>
      <c r="Q537" s="48"/>
      <c r="R537" s="40"/>
      <c r="S537" s="40"/>
      <c r="T537" s="40"/>
      <c r="U537" s="40">
        <v>10200</v>
      </c>
      <c r="V537" s="48">
        <v>4300</v>
      </c>
      <c r="W537" s="48"/>
      <c r="X537" s="48"/>
      <c r="Y537" s="48"/>
      <c r="Z537" s="48"/>
      <c r="AA537" s="48">
        <v>3000</v>
      </c>
      <c r="AB537" s="48"/>
      <c r="AC537" s="48"/>
      <c r="AD537" s="48"/>
      <c r="AE537" s="48">
        <v>5000</v>
      </c>
      <c r="AF537" s="48"/>
      <c r="AG537" s="48"/>
      <c r="AH537" s="48"/>
      <c r="AI537" s="48"/>
    </row>
    <row r="538" spans="1:35" x14ac:dyDescent="0.25">
      <c r="A538" s="48">
        <v>2</v>
      </c>
      <c r="B538" s="166" t="s">
        <v>791</v>
      </c>
      <c r="C538" s="166" t="s">
        <v>786</v>
      </c>
      <c r="D538" s="150">
        <f t="shared" si="25"/>
        <v>38000</v>
      </c>
      <c r="E538" s="48"/>
      <c r="F538" s="48"/>
      <c r="G538" s="35"/>
      <c r="H538" s="35"/>
      <c r="I538" s="35"/>
      <c r="J538" s="35"/>
      <c r="K538" s="35"/>
      <c r="L538" s="35"/>
      <c r="M538" s="48">
        <v>5100</v>
      </c>
      <c r="N538" s="48"/>
      <c r="O538" s="48">
        <v>19900</v>
      </c>
      <c r="P538" s="48"/>
      <c r="Q538" s="48"/>
      <c r="R538" s="40"/>
      <c r="S538" s="40"/>
      <c r="T538" s="40"/>
      <c r="U538" s="40">
        <v>5000</v>
      </c>
      <c r="V538" s="48"/>
      <c r="W538" s="48"/>
      <c r="X538" s="48">
        <v>3000</v>
      </c>
      <c r="Y538" s="48"/>
      <c r="Z538" s="48"/>
      <c r="AA538" s="48"/>
      <c r="AB538" s="48"/>
      <c r="AC538" s="48"/>
      <c r="AD538" s="48">
        <v>5000</v>
      </c>
      <c r="AE538" s="48"/>
      <c r="AF538" s="48"/>
      <c r="AG538" s="48"/>
      <c r="AH538" s="48"/>
      <c r="AI538" s="48"/>
    </row>
    <row r="539" spans="1:35" x14ac:dyDescent="0.25">
      <c r="A539" s="48">
        <v>3</v>
      </c>
      <c r="B539" s="166" t="s">
        <v>792</v>
      </c>
      <c r="C539" s="166" t="s">
        <v>787</v>
      </c>
      <c r="D539" s="150">
        <f t="shared" si="25"/>
        <v>15500</v>
      </c>
      <c r="E539" s="48"/>
      <c r="F539" s="48"/>
      <c r="G539" s="35"/>
      <c r="H539" s="35"/>
      <c r="I539" s="35"/>
      <c r="J539" s="35"/>
      <c r="K539" s="35"/>
      <c r="L539" s="35"/>
      <c r="M539" s="48"/>
      <c r="N539" s="48"/>
      <c r="O539" s="48"/>
      <c r="P539" s="48">
        <v>10500</v>
      </c>
      <c r="Q539" s="48"/>
      <c r="R539" s="40"/>
      <c r="S539" s="40"/>
      <c r="T539" s="40"/>
      <c r="U539" s="40"/>
      <c r="V539" s="48"/>
      <c r="W539" s="48"/>
      <c r="X539" s="48"/>
      <c r="Y539" s="48"/>
      <c r="Z539" s="48"/>
      <c r="AA539" s="48"/>
      <c r="AB539" s="48"/>
      <c r="AC539" s="48"/>
      <c r="AD539" s="48">
        <v>5000</v>
      </c>
      <c r="AE539" s="48"/>
      <c r="AF539" s="48"/>
      <c r="AG539" s="48"/>
      <c r="AH539" s="48"/>
      <c r="AI539" s="48"/>
    </row>
    <row r="540" spans="1:35" x14ac:dyDescent="0.25">
      <c r="A540" s="48">
        <v>4</v>
      </c>
      <c r="B540" s="166" t="s">
        <v>793</v>
      </c>
      <c r="C540" s="166" t="s">
        <v>788</v>
      </c>
      <c r="D540" s="150">
        <f t="shared" si="25"/>
        <v>18000</v>
      </c>
      <c r="E540" s="48"/>
      <c r="F540" s="48"/>
      <c r="G540" s="35"/>
      <c r="H540" s="35"/>
      <c r="I540" s="35"/>
      <c r="J540" s="35"/>
      <c r="K540" s="35"/>
      <c r="L540" s="35"/>
      <c r="M540" s="48"/>
      <c r="N540" s="48"/>
      <c r="O540" s="48"/>
      <c r="P540" s="48"/>
      <c r="Q540" s="48"/>
      <c r="R540" s="40"/>
      <c r="S540" s="40"/>
      <c r="T540" s="40"/>
      <c r="U540" s="40"/>
      <c r="V540" s="48"/>
      <c r="W540" s="48"/>
      <c r="X540" s="48">
        <v>9300</v>
      </c>
      <c r="Y540" s="48">
        <v>3700</v>
      </c>
      <c r="Z540" s="48"/>
      <c r="AA540" s="48"/>
      <c r="AB540" s="48"/>
      <c r="AC540" s="48">
        <v>5000</v>
      </c>
      <c r="AD540" s="48"/>
      <c r="AE540" s="48"/>
      <c r="AF540" s="48"/>
      <c r="AG540" s="48"/>
      <c r="AH540" s="48"/>
      <c r="AI540" s="48"/>
    </row>
    <row r="541" spans="1:35" x14ac:dyDescent="0.25">
      <c r="A541" s="48">
        <v>5</v>
      </c>
      <c r="B541" s="166" t="s">
        <v>794</v>
      </c>
      <c r="C541" s="166" t="s">
        <v>789</v>
      </c>
      <c r="D541" s="150">
        <f t="shared" si="25"/>
        <v>23700</v>
      </c>
      <c r="E541" s="48"/>
      <c r="F541" s="48"/>
      <c r="G541" s="35"/>
      <c r="H541" s="35"/>
      <c r="I541" s="35"/>
      <c r="J541" s="35"/>
      <c r="K541" s="35"/>
      <c r="L541" s="35"/>
      <c r="M541" s="48"/>
      <c r="N541" s="48"/>
      <c r="O541" s="48">
        <v>6600</v>
      </c>
      <c r="P541" s="48">
        <v>100</v>
      </c>
      <c r="Q541" s="48"/>
      <c r="R541" s="40"/>
      <c r="S541" s="40"/>
      <c r="T541" s="40"/>
      <c r="U541" s="40"/>
      <c r="V541" s="48"/>
      <c r="W541" s="48"/>
      <c r="X541" s="48"/>
      <c r="Y541" s="48"/>
      <c r="Z541" s="48"/>
      <c r="AA541" s="48"/>
      <c r="AB541" s="48">
        <v>5100</v>
      </c>
      <c r="AC541" s="48">
        <v>11900</v>
      </c>
      <c r="AD541" s="48"/>
      <c r="AE541" s="48"/>
      <c r="AF541" s="48"/>
      <c r="AG541" s="48"/>
      <c r="AH541" s="48"/>
      <c r="AI541" s="48"/>
    </row>
    <row r="542" spans="1:35" x14ac:dyDescent="0.25">
      <c r="A542" s="48">
        <v>6</v>
      </c>
      <c r="B542" s="166" t="s">
        <v>666</v>
      </c>
      <c r="C542" s="166" t="s">
        <v>667</v>
      </c>
      <c r="D542" s="150">
        <f t="shared" si="25"/>
        <v>1000</v>
      </c>
      <c r="E542" s="48"/>
      <c r="F542" s="48"/>
      <c r="G542" s="35"/>
      <c r="H542" s="35"/>
      <c r="I542" s="35"/>
      <c r="J542" s="35"/>
      <c r="K542" s="35"/>
      <c r="L542" s="35"/>
      <c r="M542" s="48"/>
      <c r="N542" s="48"/>
      <c r="O542" s="48"/>
      <c r="P542" s="48"/>
      <c r="Q542" s="48"/>
      <c r="R542" s="40"/>
      <c r="S542" s="40"/>
      <c r="T542" s="40"/>
      <c r="U542" s="40"/>
      <c r="V542" s="48"/>
      <c r="W542" s="48"/>
      <c r="X542" s="48">
        <v>1000</v>
      </c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</row>
    <row r="543" spans="1:35" x14ac:dyDescent="0.25">
      <c r="A543" s="48">
        <v>7</v>
      </c>
      <c r="B543" s="166" t="s">
        <v>668</v>
      </c>
      <c r="C543" s="166" t="s">
        <v>669</v>
      </c>
      <c r="D543" s="150">
        <f t="shared" si="25"/>
        <v>2000</v>
      </c>
      <c r="E543" s="137"/>
      <c r="F543" s="137"/>
      <c r="G543" s="137"/>
      <c r="H543" s="137"/>
      <c r="I543" s="137"/>
      <c r="J543" s="137"/>
      <c r="K543" s="137"/>
      <c r="L543" s="35"/>
      <c r="M543" s="137"/>
      <c r="N543" s="48"/>
      <c r="O543" s="137"/>
      <c r="P543" s="137"/>
      <c r="Q543" s="48"/>
      <c r="R543" s="40"/>
      <c r="S543" s="137"/>
      <c r="T543" s="137"/>
      <c r="U543" s="137"/>
      <c r="V543" s="137"/>
      <c r="W543" s="137"/>
      <c r="X543" s="48">
        <v>2000</v>
      </c>
      <c r="Y543" s="137"/>
      <c r="Z543" s="137"/>
      <c r="AA543" s="137"/>
      <c r="AB543" s="48"/>
      <c r="AC543" s="137"/>
      <c r="AD543" s="137"/>
      <c r="AE543" s="137"/>
      <c r="AF543" s="48"/>
      <c r="AG543" s="137"/>
      <c r="AH543" s="137"/>
      <c r="AI543" s="137"/>
    </row>
    <row r="544" spans="1:35" x14ac:dyDescent="0.25">
      <c r="A544" s="48">
        <v>8</v>
      </c>
      <c r="B544" s="166" t="s">
        <v>720</v>
      </c>
      <c r="C544" s="166" t="s">
        <v>719</v>
      </c>
      <c r="D544" s="150">
        <f t="shared" si="25"/>
        <v>0</v>
      </c>
      <c r="E544" s="48"/>
      <c r="F544" s="48"/>
      <c r="G544" s="35"/>
      <c r="H544" s="35"/>
      <c r="I544" s="35"/>
      <c r="J544" s="35"/>
      <c r="K544" s="35"/>
      <c r="L544" s="35"/>
      <c r="M544" s="48"/>
      <c r="N544" s="48"/>
      <c r="O544" s="48"/>
      <c r="P544" s="48"/>
      <c r="Q544" s="48"/>
      <c r="R544" s="40"/>
      <c r="S544" s="40"/>
      <c r="T544" s="40"/>
      <c r="U544" s="40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</row>
    <row r="545" spans="1:35" x14ac:dyDescent="0.25">
      <c r="A545" s="48">
        <v>9</v>
      </c>
      <c r="B545" s="166" t="s">
        <v>796</v>
      </c>
      <c r="C545" s="166" t="s">
        <v>795</v>
      </c>
      <c r="D545" s="150">
        <f t="shared" si="25"/>
        <v>87300</v>
      </c>
      <c r="E545" s="48"/>
      <c r="F545" s="48"/>
      <c r="G545" s="35"/>
      <c r="H545" s="35"/>
      <c r="I545" s="35"/>
      <c r="J545" s="35">
        <v>800</v>
      </c>
      <c r="K545" s="35">
        <v>15300</v>
      </c>
      <c r="L545" s="35">
        <v>23850</v>
      </c>
      <c r="M545" s="48">
        <v>50</v>
      </c>
      <c r="N545" s="48"/>
      <c r="O545" s="48"/>
      <c r="P545" s="48">
        <v>10200</v>
      </c>
      <c r="Q545" s="48">
        <v>5100</v>
      </c>
      <c r="R545" s="40"/>
      <c r="S545" s="40"/>
      <c r="T545" s="40"/>
      <c r="U545" s="40">
        <v>5100</v>
      </c>
      <c r="V545" s="48">
        <v>3000</v>
      </c>
      <c r="W545" s="48"/>
      <c r="X545" s="48">
        <v>3900</v>
      </c>
      <c r="Y545" s="48"/>
      <c r="Z545" s="48"/>
      <c r="AA545" s="48">
        <v>5100</v>
      </c>
      <c r="AB545" s="48">
        <v>14900</v>
      </c>
      <c r="AC545" s="48"/>
      <c r="AD545" s="48"/>
      <c r="AE545" s="48"/>
      <c r="AF545" s="48"/>
      <c r="AG545" s="48"/>
      <c r="AH545" s="48"/>
      <c r="AI545" s="48"/>
    </row>
    <row r="546" spans="1:35" x14ac:dyDescent="0.25">
      <c r="A546" s="48">
        <v>11</v>
      </c>
      <c r="B546" s="166" t="s">
        <v>648</v>
      </c>
      <c r="C546" s="166" t="s">
        <v>647</v>
      </c>
      <c r="D546" s="150">
        <f t="shared" si="25"/>
        <v>0</v>
      </c>
      <c r="E546" s="48"/>
      <c r="F546" s="48"/>
      <c r="G546" s="35"/>
      <c r="H546" s="35"/>
      <c r="I546" s="35"/>
      <c r="J546" s="35"/>
      <c r="K546" s="35"/>
      <c r="L546" s="35"/>
      <c r="M546" s="48"/>
      <c r="N546" s="48"/>
      <c r="O546" s="48"/>
      <c r="P546" s="48"/>
      <c r="Q546" s="48"/>
      <c r="R546" s="40"/>
      <c r="S546" s="40"/>
      <c r="T546" s="40"/>
      <c r="U546" s="40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</row>
    <row r="547" spans="1:35" x14ac:dyDescent="0.25">
      <c r="A547" s="48">
        <v>12</v>
      </c>
      <c r="B547" s="166" t="s">
        <v>139</v>
      </c>
      <c r="C547" s="166" t="s">
        <v>138</v>
      </c>
      <c r="D547" s="150">
        <f t="shared" si="25"/>
        <v>0</v>
      </c>
      <c r="E547" s="48"/>
      <c r="F547" s="48"/>
      <c r="G547" s="35"/>
      <c r="H547" s="35"/>
      <c r="I547" s="35"/>
      <c r="J547" s="35"/>
      <c r="K547" s="35"/>
      <c r="L547" s="35"/>
      <c r="M547" s="48"/>
      <c r="N547" s="48"/>
      <c r="O547" s="48"/>
      <c r="P547" s="48"/>
      <c r="Q547" s="48"/>
      <c r="R547" s="40"/>
      <c r="S547" s="40"/>
      <c r="T547" s="40"/>
      <c r="U547" s="40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</row>
    <row r="548" spans="1:35" x14ac:dyDescent="0.25">
      <c r="A548" s="48">
        <v>13</v>
      </c>
      <c r="B548" s="166" t="s">
        <v>656</v>
      </c>
      <c r="C548" s="166" t="s">
        <v>655</v>
      </c>
      <c r="D548" s="150">
        <f t="shared" si="25"/>
        <v>0</v>
      </c>
      <c r="E548" s="48"/>
      <c r="F548" s="48"/>
      <c r="G548" s="35"/>
      <c r="H548" s="35"/>
      <c r="I548" s="35"/>
      <c r="J548" s="35"/>
      <c r="K548" s="35"/>
      <c r="L548" s="35"/>
      <c r="M548" s="48"/>
      <c r="N548" s="48"/>
      <c r="O548" s="48"/>
      <c r="P548" s="48"/>
      <c r="Q548" s="48"/>
      <c r="R548" s="40"/>
      <c r="S548" s="40"/>
      <c r="T548" s="40"/>
      <c r="U548" s="40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</row>
    <row r="549" spans="1:35" x14ac:dyDescent="0.25">
      <c r="A549" s="48">
        <v>14</v>
      </c>
      <c r="B549" s="166" t="s">
        <v>133</v>
      </c>
      <c r="C549" s="166" t="s">
        <v>308</v>
      </c>
      <c r="D549" s="150">
        <f t="shared" si="25"/>
        <v>0</v>
      </c>
      <c r="E549" s="48"/>
      <c r="F549" s="48"/>
      <c r="G549" s="35"/>
      <c r="H549" s="35"/>
      <c r="I549" s="35"/>
      <c r="J549" s="35"/>
      <c r="K549" s="35"/>
      <c r="L549" s="35"/>
      <c r="M549" s="48"/>
      <c r="N549" s="48"/>
      <c r="O549" s="48"/>
      <c r="P549" s="48"/>
      <c r="Q549" s="48"/>
      <c r="R549" s="40"/>
      <c r="S549" s="40"/>
      <c r="T549" s="40"/>
      <c r="U549" s="40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</row>
    <row r="550" spans="1:35" x14ac:dyDescent="0.25">
      <c r="A550" s="48">
        <v>15</v>
      </c>
      <c r="B550" s="166" t="s">
        <v>136</v>
      </c>
      <c r="C550" s="166" t="s">
        <v>137</v>
      </c>
      <c r="D550" s="150">
        <f t="shared" si="25"/>
        <v>0</v>
      </c>
      <c r="E550" s="48"/>
      <c r="F550" s="48"/>
      <c r="G550" s="35"/>
      <c r="H550" s="35"/>
      <c r="I550" s="35"/>
      <c r="J550" s="35"/>
      <c r="K550" s="35"/>
      <c r="L550" s="35"/>
      <c r="M550" s="48"/>
      <c r="N550" s="48"/>
      <c r="O550" s="48"/>
      <c r="P550" s="48"/>
      <c r="Q550" s="48"/>
      <c r="R550" s="40"/>
      <c r="S550" s="40"/>
      <c r="T550" s="40"/>
      <c r="U550" s="40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</row>
    <row r="551" spans="1:35" x14ac:dyDescent="0.25">
      <c r="A551" s="48">
        <v>16</v>
      </c>
      <c r="B551" s="166" t="s">
        <v>660</v>
      </c>
      <c r="C551" s="166" t="s">
        <v>659</v>
      </c>
      <c r="D551" s="150">
        <f t="shared" si="25"/>
        <v>0</v>
      </c>
      <c r="E551" s="48"/>
      <c r="F551" s="48"/>
      <c r="G551" s="35"/>
      <c r="H551" s="35"/>
      <c r="I551" s="35"/>
      <c r="J551" s="35"/>
      <c r="K551" s="35"/>
      <c r="L551" s="35"/>
      <c r="M551" s="48"/>
      <c r="N551" s="48"/>
      <c r="O551" s="48"/>
      <c r="P551" s="48"/>
      <c r="Q551" s="48"/>
      <c r="R551" s="40"/>
      <c r="S551" s="40"/>
      <c r="T551" s="40"/>
      <c r="U551" s="40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</row>
    <row r="552" spans="1:35" x14ac:dyDescent="0.25">
      <c r="A552" s="48">
        <v>17</v>
      </c>
      <c r="B552" s="166" t="s">
        <v>549</v>
      </c>
      <c r="C552" s="166" t="s">
        <v>877</v>
      </c>
      <c r="D552" s="150">
        <f t="shared" si="25"/>
        <v>0</v>
      </c>
      <c r="E552" s="48"/>
      <c r="F552" s="48"/>
      <c r="G552" s="35"/>
      <c r="H552" s="35"/>
      <c r="I552" s="35"/>
      <c r="J552" s="35"/>
      <c r="K552" s="35"/>
      <c r="L552" s="35"/>
      <c r="M552" s="48"/>
      <c r="N552" s="48"/>
      <c r="O552" s="48"/>
      <c r="P552" s="48"/>
      <c r="Q552" s="48"/>
      <c r="R552" s="40"/>
      <c r="S552" s="40"/>
      <c r="T552" s="40"/>
      <c r="U552" s="40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</row>
    <row r="553" spans="1:35" x14ac:dyDescent="0.25">
      <c r="A553" s="48">
        <v>18</v>
      </c>
      <c r="B553" s="166" t="s">
        <v>315</v>
      </c>
      <c r="C553" s="166" t="s">
        <v>316</v>
      </c>
      <c r="D553" s="150">
        <f t="shared" si="25"/>
        <v>0</v>
      </c>
      <c r="E553" s="48"/>
      <c r="F553" s="48"/>
      <c r="G553" s="35"/>
      <c r="H553" s="35"/>
      <c r="I553" s="35"/>
      <c r="J553" s="35"/>
      <c r="K553" s="35"/>
      <c r="L553" s="35"/>
      <c r="M553" s="48"/>
      <c r="N553" s="48"/>
      <c r="O553" s="48"/>
      <c r="P553" s="48"/>
      <c r="Q553" s="48"/>
      <c r="R553" s="40"/>
      <c r="S553" s="40"/>
      <c r="T553" s="40"/>
      <c r="U553" s="40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</row>
    <row r="554" spans="1:35" x14ac:dyDescent="0.25">
      <c r="A554" s="48">
        <v>19</v>
      </c>
      <c r="B554" s="166" t="s">
        <v>294</v>
      </c>
      <c r="C554" s="166" t="s">
        <v>292</v>
      </c>
      <c r="D554" s="150">
        <f t="shared" si="25"/>
        <v>17000</v>
      </c>
      <c r="E554" s="48"/>
      <c r="F554" s="48"/>
      <c r="G554" s="35">
        <v>12000</v>
      </c>
      <c r="H554" s="35"/>
      <c r="I554" s="35"/>
      <c r="J554" s="35"/>
      <c r="K554" s="35"/>
      <c r="L554" s="35"/>
      <c r="M554" s="48"/>
      <c r="N554" s="48"/>
      <c r="O554" s="48"/>
      <c r="P554" s="48"/>
      <c r="Q554" s="48"/>
      <c r="R554" s="40"/>
      <c r="S554" s="40"/>
      <c r="T554" s="40"/>
      <c r="U554" s="40"/>
      <c r="V554" s="48"/>
      <c r="W554" s="48"/>
      <c r="X554" s="48"/>
      <c r="Y554" s="48"/>
      <c r="Z554" s="48"/>
      <c r="AA554" s="48"/>
      <c r="AB554" s="48"/>
      <c r="AC554" s="48"/>
      <c r="AD554" s="48">
        <v>5000</v>
      </c>
      <c r="AE554" s="48"/>
      <c r="AF554" s="48"/>
      <c r="AG554" s="48"/>
      <c r="AH554" s="48"/>
      <c r="AI554" s="48"/>
    </row>
    <row r="555" spans="1:35" x14ac:dyDescent="0.25">
      <c r="A555" s="48">
        <v>20</v>
      </c>
      <c r="B555" s="166" t="s">
        <v>295</v>
      </c>
      <c r="C555" s="166" t="s">
        <v>293</v>
      </c>
      <c r="D555" s="150">
        <f t="shared" si="25"/>
        <v>17000</v>
      </c>
      <c r="E555" s="48">
        <v>12000</v>
      </c>
      <c r="F555" s="48"/>
      <c r="G555" s="35"/>
      <c r="H555" s="35"/>
      <c r="I555" s="35"/>
      <c r="J555" s="35"/>
      <c r="K555" s="35"/>
      <c r="L555" s="35"/>
      <c r="M555" s="48"/>
      <c r="N555" s="48"/>
      <c r="O555" s="48"/>
      <c r="P555" s="48"/>
      <c r="Q555" s="48"/>
      <c r="R555" s="40"/>
      <c r="S555" s="40"/>
      <c r="T555" s="40"/>
      <c r="U555" s="40"/>
      <c r="V555" s="48"/>
      <c r="W555" s="48"/>
      <c r="X555" s="48"/>
      <c r="Y555" s="48"/>
      <c r="Z555" s="48"/>
      <c r="AA555" s="48"/>
      <c r="AB555" s="48"/>
      <c r="AC555" s="48">
        <v>5000</v>
      </c>
      <c r="AD555" s="48"/>
      <c r="AE555" s="48"/>
      <c r="AF555" s="48"/>
      <c r="AG555" s="48"/>
      <c r="AH555" s="48"/>
      <c r="AI555" s="48"/>
    </row>
    <row r="556" spans="1:35" x14ac:dyDescent="0.25">
      <c r="A556" s="48">
        <v>21</v>
      </c>
      <c r="B556" s="166" t="s">
        <v>389</v>
      </c>
      <c r="C556" s="166" t="s">
        <v>388</v>
      </c>
      <c r="D556" s="150">
        <f t="shared" si="25"/>
        <v>0</v>
      </c>
      <c r="E556" s="137"/>
      <c r="F556" s="137"/>
      <c r="G556" s="137"/>
      <c r="H556" s="137"/>
      <c r="I556" s="35"/>
      <c r="J556" s="35"/>
      <c r="K556" s="137"/>
      <c r="L556" s="35"/>
      <c r="M556" s="137"/>
      <c r="N556" s="48"/>
      <c r="O556" s="137"/>
      <c r="P556" s="137"/>
      <c r="Q556" s="48"/>
      <c r="R556" s="40"/>
      <c r="S556" s="137"/>
      <c r="T556" s="137"/>
      <c r="U556" s="40"/>
      <c r="V556" s="48"/>
      <c r="W556" s="137"/>
      <c r="X556" s="137"/>
      <c r="Y556" s="137"/>
      <c r="Z556" s="48"/>
      <c r="AA556" s="137"/>
      <c r="AB556" s="137"/>
      <c r="AC556" s="48"/>
      <c r="AD556" s="137"/>
      <c r="AE556" s="137"/>
      <c r="AF556" s="137"/>
      <c r="AG556" s="137"/>
      <c r="AH556" s="137"/>
      <c r="AI556" s="137"/>
    </row>
    <row r="557" spans="1:35" x14ac:dyDescent="0.25">
      <c r="A557" s="48">
        <v>22</v>
      </c>
      <c r="B557" s="176" t="s">
        <v>860</v>
      </c>
      <c r="C557" s="176" t="s">
        <v>858</v>
      </c>
      <c r="D557" s="150">
        <f t="shared" si="25"/>
        <v>15000</v>
      </c>
      <c r="E557" s="137"/>
      <c r="F557" s="137"/>
      <c r="G557" s="137"/>
      <c r="H557" s="137"/>
      <c r="I557" s="35"/>
      <c r="J557" s="35"/>
      <c r="K557" s="137"/>
      <c r="L557" s="35"/>
      <c r="M557" s="137"/>
      <c r="N557" s="48"/>
      <c r="O557" s="137"/>
      <c r="P557" s="48"/>
      <c r="Q557" s="48"/>
      <c r="R557" s="40"/>
      <c r="S557" s="137"/>
      <c r="T557" s="137"/>
      <c r="U557" s="40"/>
      <c r="V557" s="48"/>
      <c r="W557" s="48">
        <v>7140</v>
      </c>
      <c r="X557" s="48">
        <v>7860</v>
      </c>
      <c r="Y557" s="137"/>
      <c r="Z557" s="48"/>
      <c r="AA557" s="137"/>
      <c r="AB557" s="48"/>
      <c r="AC557" s="48"/>
      <c r="AD557" s="137"/>
      <c r="AE557" s="137"/>
      <c r="AF557" s="137"/>
      <c r="AG557" s="137"/>
      <c r="AH557" s="137"/>
      <c r="AI557" s="137"/>
    </row>
    <row r="558" spans="1:35" x14ac:dyDescent="0.25">
      <c r="A558" s="48">
        <v>23</v>
      </c>
      <c r="B558" s="176" t="s">
        <v>861</v>
      </c>
      <c r="C558" s="176" t="s">
        <v>859</v>
      </c>
      <c r="D558" s="150">
        <f t="shared" si="25"/>
        <v>12000</v>
      </c>
      <c r="E558" s="137"/>
      <c r="F558" s="137"/>
      <c r="G558" s="137"/>
      <c r="H558" s="137"/>
      <c r="I558" s="35"/>
      <c r="J558" s="35"/>
      <c r="K558" s="137"/>
      <c r="L558" s="35"/>
      <c r="M558" s="137"/>
      <c r="N558" s="48"/>
      <c r="O558" s="48"/>
      <c r="P558" s="48"/>
      <c r="Q558" s="48"/>
      <c r="R558" s="40"/>
      <c r="S558" s="137"/>
      <c r="T558" s="137"/>
      <c r="U558" s="40"/>
      <c r="V558" s="48"/>
      <c r="W558" s="137"/>
      <c r="X558" s="48"/>
      <c r="Y558" s="137"/>
      <c r="Z558" s="48">
        <v>9520</v>
      </c>
      <c r="AA558" s="48">
        <v>2480</v>
      </c>
      <c r="AB558" s="137"/>
      <c r="AC558" s="48"/>
      <c r="AD558" s="137"/>
      <c r="AE558" s="137"/>
      <c r="AF558" s="137"/>
      <c r="AG558" s="137"/>
      <c r="AH558" s="137"/>
      <c r="AI558" s="137"/>
    </row>
    <row r="559" spans="1:35" x14ac:dyDescent="0.25">
      <c r="A559" s="48">
        <v>24</v>
      </c>
      <c r="B559" s="166" t="s">
        <v>818</v>
      </c>
      <c r="C559" s="166" t="s">
        <v>815</v>
      </c>
      <c r="D559" s="150">
        <f t="shared" si="25"/>
        <v>0</v>
      </c>
      <c r="E559" s="137"/>
      <c r="F559" s="137"/>
      <c r="G559" s="137"/>
      <c r="H559" s="137"/>
      <c r="I559" s="35"/>
      <c r="J559" s="35"/>
      <c r="K559" s="137"/>
      <c r="L559" s="35"/>
      <c r="M559" s="137"/>
      <c r="N559" s="48"/>
      <c r="O559" s="48"/>
      <c r="P559" s="137"/>
      <c r="Q559" s="137"/>
      <c r="R559" s="40"/>
      <c r="S559" s="137"/>
      <c r="T559" s="137"/>
      <c r="U559" s="40"/>
      <c r="V559" s="48"/>
      <c r="W559" s="137"/>
      <c r="X559" s="48"/>
      <c r="Y559" s="137"/>
      <c r="Z559" s="48"/>
      <c r="AA559" s="137"/>
      <c r="AB559" s="137"/>
      <c r="AC559" s="48"/>
      <c r="AD559" s="137"/>
      <c r="AE559" s="137"/>
      <c r="AF559" s="137"/>
      <c r="AG559" s="137"/>
      <c r="AH559" s="137"/>
      <c r="AI559" s="48"/>
    </row>
    <row r="560" spans="1:35" x14ac:dyDescent="0.25">
      <c r="A560" s="48">
        <v>25</v>
      </c>
      <c r="B560" s="166" t="s">
        <v>819</v>
      </c>
      <c r="C560" s="166" t="s">
        <v>816</v>
      </c>
      <c r="D560" s="150">
        <f t="shared" si="25"/>
        <v>2000</v>
      </c>
      <c r="E560" s="137"/>
      <c r="F560" s="137"/>
      <c r="G560" s="137"/>
      <c r="H560" s="137"/>
      <c r="I560" s="35"/>
      <c r="J560" s="35"/>
      <c r="K560" s="137"/>
      <c r="L560" s="35"/>
      <c r="M560" s="137"/>
      <c r="N560" s="137"/>
      <c r="O560" s="48"/>
      <c r="P560" s="137"/>
      <c r="Q560" s="137"/>
      <c r="R560" s="40"/>
      <c r="S560" s="137"/>
      <c r="T560" s="137"/>
      <c r="U560" s="40"/>
      <c r="V560" s="48"/>
      <c r="W560" s="137"/>
      <c r="X560" s="48">
        <v>2000</v>
      </c>
      <c r="Y560" s="137"/>
      <c r="Z560" s="48"/>
      <c r="AA560" s="137"/>
      <c r="AB560" s="48"/>
      <c r="AC560" s="48"/>
      <c r="AD560" s="137"/>
      <c r="AE560" s="137"/>
      <c r="AF560" s="137"/>
      <c r="AG560" s="137"/>
      <c r="AH560" s="137"/>
      <c r="AI560" s="48"/>
    </row>
    <row r="561" spans="1:35" x14ac:dyDescent="0.25">
      <c r="A561" s="48">
        <v>26</v>
      </c>
      <c r="B561" s="166" t="s">
        <v>820</v>
      </c>
      <c r="C561" s="166" t="s">
        <v>817</v>
      </c>
      <c r="D561" s="150">
        <f t="shared" si="25"/>
        <v>0</v>
      </c>
      <c r="E561" s="137"/>
      <c r="F561" s="137"/>
      <c r="G561" s="137"/>
      <c r="H561" s="137"/>
      <c r="I561" s="35"/>
      <c r="J561" s="35"/>
      <c r="K561" s="137"/>
      <c r="L561" s="35"/>
      <c r="M561" s="137"/>
      <c r="N561" s="137"/>
      <c r="O561" s="48"/>
      <c r="P561" s="137"/>
      <c r="Q561" s="137"/>
      <c r="R561" s="40"/>
      <c r="S561" s="137"/>
      <c r="T561" s="137"/>
      <c r="U561" s="40"/>
      <c r="V561" s="48"/>
      <c r="W561" s="137"/>
      <c r="X561" s="137"/>
      <c r="Y561" s="137"/>
      <c r="Z561" s="48"/>
      <c r="AA561" s="137"/>
      <c r="AB561" s="48"/>
      <c r="AC561" s="48"/>
      <c r="AD561" s="137"/>
      <c r="AE561" s="137"/>
      <c r="AF561" s="137"/>
      <c r="AG561" s="137"/>
      <c r="AH561" s="137"/>
      <c r="AI561" s="48"/>
    </row>
    <row r="562" spans="1:35" x14ac:dyDescent="0.25">
      <c r="A562" s="48">
        <v>27</v>
      </c>
      <c r="B562" s="166" t="s">
        <v>164</v>
      </c>
      <c r="C562" s="166" t="s">
        <v>135</v>
      </c>
      <c r="D562" s="150">
        <f t="shared" si="25"/>
        <v>0</v>
      </c>
      <c r="E562" s="137"/>
      <c r="F562" s="137"/>
      <c r="G562" s="137"/>
      <c r="H562" s="137"/>
      <c r="I562" s="35"/>
      <c r="J562" s="35"/>
      <c r="K562" s="137"/>
      <c r="L562" s="35"/>
      <c r="M562" s="137"/>
      <c r="N562" s="137"/>
      <c r="O562" s="137"/>
      <c r="P562" s="137"/>
      <c r="Q562" s="137"/>
      <c r="R562" s="40"/>
      <c r="S562" s="137"/>
      <c r="T562" s="137"/>
      <c r="U562" s="40"/>
      <c r="V562" s="48"/>
      <c r="W562" s="137"/>
      <c r="X562" s="137"/>
      <c r="Y562" s="137"/>
      <c r="Z562" s="48"/>
      <c r="AA562" s="137"/>
      <c r="AB562" s="137"/>
      <c r="AC562" s="48"/>
      <c r="AD562" s="137"/>
      <c r="AE562" s="137"/>
      <c r="AF562" s="137"/>
      <c r="AG562" s="137"/>
      <c r="AH562" s="137"/>
      <c r="AI562" s="137"/>
    </row>
    <row r="563" spans="1:35" x14ac:dyDescent="0.25">
      <c r="A563" s="48">
        <v>28</v>
      </c>
      <c r="B563" s="166" t="s">
        <v>421</v>
      </c>
      <c r="C563" s="166" t="s">
        <v>419</v>
      </c>
      <c r="D563" s="150">
        <f t="shared" si="25"/>
        <v>17000</v>
      </c>
      <c r="E563" s="48">
        <v>12000</v>
      </c>
      <c r="F563" s="137"/>
      <c r="G563" s="137"/>
      <c r="H563" s="137"/>
      <c r="I563" s="35"/>
      <c r="J563" s="35"/>
      <c r="K563" s="137"/>
      <c r="L563" s="35"/>
      <c r="M563" s="137"/>
      <c r="N563" s="48"/>
      <c r="O563" s="137"/>
      <c r="P563" s="137"/>
      <c r="Q563" s="137"/>
      <c r="R563" s="40"/>
      <c r="S563" s="40"/>
      <c r="T563" s="137"/>
      <c r="U563" s="40"/>
      <c r="V563" s="48"/>
      <c r="W563" s="137"/>
      <c r="X563" s="137"/>
      <c r="Y563" s="137"/>
      <c r="Z563" s="48"/>
      <c r="AA563" s="137"/>
      <c r="AB563" s="137"/>
      <c r="AC563" s="48">
        <v>5000</v>
      </c>
      <c r="AD563" s="137"/>
      <c r="AE563" s="137"/>
      <c r="AF563" s="137"/>
      <c r="AG563" s="137"/>
      <c r="AH563" s="137"/>
      <c r="AI563" s="137"/>
    </row>
    <row r="564" spans="1:35" x14ac:dyDescent="0.25">
      <c r="A564" s="48">
        <v>29</v>
      </c>
      <c r="B564" s="166" t="s">
        <v>422</v>
      </c>
      <c r="C564" s="166" t="s">
        <v>420</v>
      </c>
      <c r="D564" s="150">
        <f t="shared" si="25"/>
        <v>22000</v>
      </c>
      <c r="E564" s="48"/>
      <c r="F564" s="48"/>
      <c r="G564" s="35"/>
      <c r="H564" s="35">
        <v>12000</v>
      </c>
      <c r="I564" s="35"/>
      <c r="J564" s="35"/>
      <c r="K564" s="35"/>
      <c r="L564" s="35"/>
      <c r="M564" s="48"/>
      <c r="N564" s="48"/>
      <c r="O564" s="48"/>
      <c r="P564" s="48"/>
      <c r="Q564" s="48"/>
      <c r="R564" s="40"/>
      <c r="S564" s="40"/>
      <c r="T564" s="40"/>
      <c r="U564" s="40"/>
      <c r="V564" s="48"/>
      <c r="W564" s="48"/>
      <c r="X564" s="48"/>
      <c r="Y564" s="48"/>
      <c r="Z564" s="48"/>
      <c r="AA564" s="48">
        <v>5000</v>
      </c>
      <c r="AB564" s="48"/>
      <c r="AC564" s="48"/>
      <c r="AD564" s="48"/>
      <c r="AE564" s="48">
        <v>5000</v>
      </c>
      <c r="AF564" s="48"/>
      <c r="AG564" s="48"/>
      <c r="AH564" s="48"/>
      <c r="AI564" s="48"/>
    </row>
    <row r="565" spans="1:35" x14ac:dyDescent="0.25">
      <c r="A565" s="48">
        <v>30</v>
      </c>
      <c r="B565" s="166" t="s">
        <v>165</v>
      </c>
      <c r="C565" s="166" t="s">
        <v>134</v>
      </c>
      <c r="D565" s="150">
        <f t="shared" si="25"/>
        <v>0</v>
      </c>
      <c r="E565" s="48"/>
      <c r="F565" s="48"/>
      <c r="G565" s="35"/>
      <c r="H565" s="35"/>
      <c r="I565" s="35"/>
      <c r="J565" s="35"/>
      <c r="K565" s="35"/>
      <c r="L565" s="35"/>
      <c r="M565" s="48"/>
      <c r="N565" s="48"/>
      <c r="O565" s="48"/>
      <c r="P565" s="48"/>
      <c r="Q565" s="48"/>
      <c r="R565" s="40"/>
      <c r="S565" s="40"/>
      <c r="T565" s="40"/>
      <c r="U565" s="40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</row>
    <row r="566" spans="1:35" x14ac:dyDescent="0.25">
      <c r="A566" s="48">
        <v>31</v>
      </c>
      <c r="B566" s="166" t="s">
        <v>549</v>
      </c>
      <c r="C566" s="166" t="s">
        <v>548</v>
      </c>
      <c r="D566" s="150">
        <f t="shared" si="25"/>
        <v>43000</v>
      </c>
      <c r="E566" s="48"/>
      <c r="F566" s="48"/>
      <c r="G566" s="35"/>
      <c r="H566" s="35"/>
      <c r="I566" s="35">
        <v>25500</v>
      </c>
      <c r="J566" s="35">
        <v>14500</v>
      </c>
      <c r="K566" s="35"/>
      <c r="L566" s="35"/>
      <c r="M566" s="48"/>
      <c r="N566" s="48"/>
      <c r="O566" s="48"/>
      <c r="P566" s="48">
        <v>3000</v>
      </c>
      <c r="Q566" s="48"/>
      <c r="R566" s="40"/>
      <c r="S566" s="40"/>
      <c r="T566" s="40"/>
      <c r="U566" s="40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</row>
    <row r="567" spans="1:35" x14ac:dyDescent="0.25">
      <c r="A567" s="48">
        <v>32</v>
      </c>
      <c r="B567" s="166" t="s">
        <v>539</v>
      </c>
      <c r="C567" s="166" t="s">
        <v>538</v>
      </c>
      <c r="D567" s="150">
        <f t="shared" si="25"/>
        <v>0</v>
      </c>
      <c r="E567" s="48"/>
      <c r="F567" s="48"/>
      <c r="G567" s="35"/>
      <c r="H567" s="35"/>
      <c r="I567" s="35"/>
      <c r="J567" s="35"/>
      <c r="K567" s="35"/>
      <c r="L567" s="35"/>
      <c r="M567" s="48"/>
      <c r="N567" s="48"/>
      <c r="O567" s="48"/>
      <c r="P567" s="48"/>
      <c r="Q567" s="48"/>
      <c r="R567" s="40"/>
      <c r="S567" s="40"/>
      <c r="T567" s="40"/>
      <c r="U567" s="40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</row>
    <row r="568" spans="1:35" x14ac:dyDescent="0.25">
      <c r="A568" s="48">
        <v>33</v>
      </c>
      <c r="B568" s="166" t="s">
        <v>904</v>
      </c>
      <c r="C568" s="166" t="s">
        <v>900</v>
      </c>
      <c r="D568" s="150">
        <f t="shared" si="25"/>
        <v>3000</v>
      </c>
      <c r="E568" s="48"/>
      <c r="F568" s="48"/>
      <c r="G568" s="35"/>
      <c r="H568" s="35"/>
      <c r="I568" s="35"/>
      <c r="J568" s="35"/>
      <c r="K568" s="35"/>
      <c r="L568" s="35"/>
      <c r="M568" s="48"/>
      <c r="N568" s="48"/>
      <c r="O568" s="48"/>
      <c r="P568" s="48"/>
      <c r="Q568" s="48"/>
      <c r="R568" s="40"/>
      <c r="S568" s="40"/>
      <c r="T568" s="40"/>
      <c r="U568" s="40"/>
      <c r="V568" s="48"/>
      <c r="W568" s="48"/>
      <c r="X568" s="48"/>
      <c r="Y568" s="48"/>
      <c r="Z568" s="48">
        <v>3000</v>
      </c>
      <c r="AA568" s="48"/>
      <c r="AB568" s="48"/>
      <c r="AC568" s="48"/>
      <c r="AD568" s="48"/>
      <c r="AE568" s="48"/>
      <c r="AF568" s="48"/>
      <c r="AG568" s="48"/>
      <c r="AH568" s="48"/>
      <c r="AI568" s="48"/>
    </row>
    <row r="569" spans="1:35" x14ac:dyDescent="0.25">
      <c r="A569" s="48">
        <v>34</v>
      </c>
      <c r="B569" s="166" t="s">
        <v>905</v>
      </c>
      <c r="C569" s="166" t="s">
        <v>901</v>
      </c>
      <c r="D569" s="150">
        <f t="shared" si="25"/>
        <v>3000</v>
      </c>
      <c r="E569" s="48"/>
      <c r="F569" s="48"/>
      <c r="G569" s="35"/>
      <c r="H569" s="35"/>
      <c r="I569" s="35"/>
      <c r="J569" s="35"/>
      <c r="K569" s="35"/>
      <c r="L569" s="35"/>
      <c r="M569" s="48"/>
      <c r="N569" s="48"/>
      <c r="O569" s="48"/>
      <c r="P569" s="48"/>
      <c r="Q569" s="48"/>
      <c r="R569" s="40"/>
      <c r="S569" s="40"/>
      <c r="T569" s="40"/>
      <c r="U569" s="40"/>
      <c r="V569" s="48"/>
      <c r="W569" s="48"/>
      <c r="X569" s="48"/>
      <c r="Y569" s="48">
        <v>3000</v>
      </c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</row>
    <row r="570" spans="1:35" x14ac:dyDescent="0.25">
      <c r="A570" s="48">
        <v>35</v>
      </c>
      <c r="B570" s="166" t="s">
        <v>906</v>
      </c>
      <c r="C570" s="166" t="s">
        <v>902</v>
      </c>
      <c r="D570" s="150">
        <f t="shared" si="25"/>
        <v>4600</v>
      </c>
      <c r="E570" s="48"/>
      <c r="F570" s="48"/>
      <c r="G570" s="35"/>
      <c r="H570" s="35"/>
      <c r="I570" s="35"/>
      <c r="J570" s="35"/>
      <c r="K570" s="35"/>
      <c r="L570" s="35"/>
      <c r="M570" s="48"/>
      <c r="N570" s="48"/>
      <c r="O570" s="48"/>
      <c r="P570" s="48"/>
      <c r="Q570" s="48"/>
      <c r="R570" s="40"/>
      <c r="S570" s="40"/>
      <c r="T570" s="40"/>
      <c r="U570" s="40"/>
      <c r="V570" s="48"/>
      <c r="W570" s="48"/>
      <c r="X570" s="48"/>
      <c r="Y570" s="48">
        <v>4600</v>
      </c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</row>
    <row r="571" spans="1:35" x14ac:dyDescent="0.25">
      <c r="A571" s="48">
        <v>36</v>
      </c>
      <c r="B571" s="166" t="s">
        <v>907</v>
      </c>
      <c r="C571" s="166" t="s">
        <v>903</v>
      </c>
      <c r="D571" s="150">
        <f t="shared" si="25"/>
        <v>2400</v>
      </c>
      <c r="E571" s="48"/>
      <c r="F571" s="48"/>
      <c r="G571" s="35"/>
      <c r="H571" s="35"/>
      <c r="I571" s="35"/>
      <c r="J571" s="35"/>
      <c r="K571" s="35"/>
      <c r="L571" s="35"/>
      <c r="M571" s="48"/>
      <c r="N571" s="48"/>
      <c r="O571" s="48"/>
      <c r="P571" s="48"/>
      <c r="Q571" s="48"/>
      <c r="R571" s="40"/>
      <c r="S571" s="40"/>
      <c r="T571" s="40"/>
      <c r="U571" s="40"/>
      <c r="V571" s="48"/>
      <c r="W571" s="48"/>
      <c r="X571" s="48"/>
      <c r="Y571" s="48">
        <v>2400</v>
      </c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</row>
    <row r="572" spans="1:35" x14ac:dyDescent="0.25">
      <c r="A572" s="48">
        <v>37</v>
      </c>
      <c r="B572" s="166" t="s">
        <v>579</v>
      </c>
      <c r="C572" s="166" t="s">
        <v>578</v>
      </c>
      <c r="D572" s="150">
        <f t="shared" si="25"/>
        <v>0</v>
      </c>
      <c r="E572" s="137"/>
      <c r="F572" s="137"/>
      <c r="G572" s="137"/>
      <c r="H572" s="137"/>
      <c r="I572" s="137"/>
      <c r="J572" s="35"/>
      <c r="K572" s="137"/>
      <c r="L572" s="35"/>
      <c r="M572" s="137"/>
      <c r="N572" s="48"/>
      <c r="O572" s="137"/>
      <c r="P572" s="137"/>
      <c r="Q572" s="137"/>
      <c r="R572" s="40"/>
      <c r="S572" s="40"/>
      <c r="T572" s="137"/>
      <c r="U572" s="40"/>
      <c r="V572" s="137"/>
      <c r="W572" s="137"/>
      <c r="X572" s="48"/>
      <c r="Y572" s="48"/>
      <c r="Z572" s="137"/>
      <c r="AA572" s="137"/>
      <c r="AB572" s="137"/>
      <c r="AC572" s="137"/>
      <c r="AD572" s="48"/>
      <c r="AE572" s="137"/>
      <c r="AF572" s="137"/>
      <c r="AG572" s="137"/>
      <c r="AH572" s="137"/>
      <c r="AI572" s="137"/>
    </row>
    <row r="573" spans="1:35" x14ac:dyDescent="0.25">
      <c r="A573" s="48">
        <v>38</v>
      </c>
      <c r="B573" s="166" t="s">
        <v>322</v>
      </c>
      <c r="C573" s="166" t="s">
        <v>321</v>
      </c>
      <c r="D573" s="150">
        <f t="shared" si="25"/>
        <v>34000</v>
      </c>
      <c r="E573" s="48">
        <v>12000</v>
      </c>
      <c r="F573" s="48"/>
      <c r="G573" s="35"/>
      <c r="H573" s="35"/>
      <c r="I573" s="35"/>
      <c r="J573" s="35"/>
      <c r="K573" s="35"/>
      <c r="L573" s="35"/>
      <c r="M573" s="48"/>
      <c r="N573" s="48"/>
      <c r="O573" s="48"/>
      <c r="P573" s="48"/>
      <c r="Q573" s="48"/>
      <c r="R573" s="40"/>
      <c r="S573" s="40"/>
      <c r="T573" s="40"/>
      <c r="U573" s="40"/>
      <c r="V573" s="48">
        <v>14000</v>
      </c>
      <c r="W573" s="48"/>
      <c r="X573" s="48"/>
      <c r="Y573" s="48">
        <v>3000</v>
      </c>
      <c r="Z573" s="48"/>
      <c r="AA573" s="48"/>
      <c r="AB573" s="48"/>
      <c r="AC573" s="48"/>
      <c r="AD573" s="48">
        <v>5000</v>
      </c>
      <c r="AE573" s="48"/>
      <c r="AF573" s="48"/>
      <c r="AG573" s="48"/>
      <c r="AH573" s="48"/>
      <c r="AI573" s="48"/>
    </row>
    <row r="574" spans="1:35" x14ac:dyDescent="0.25">
      <c r="A574" s="48">
        <v>39</v>
      </c>
      <c r="B574" s="176" t="s">
        <v>933</v>
      </c>
      <c r="C574" s="176" t="s">
        <v>932</v>
      </c>
      <c r="D574" s="150">
        <f t="shared" si="25"/>
        <v>0</v>
      </c>
      <c r="E574" s="48"/>
      <c r="F574" s="48"/>
      <c r="G574" s="35"/>
      <c r="H574" s="35"/>
      <c r="I574" s="35"/>
      <c r="J574" s="35"/>
      <c r="K574" s="35"/>
      <c r="L574" s="35"/>
      <c r="M574" s="48"/>
      <c r="N574" s="48"/>
      <c r="O574" s="48"/>
      <c r="P574" s="48"/>
      <c r="Q574" s="48"/>
      <c r="R574" s="40"/>
      <c r="S574" s="40"/>
      <c r="T574" s="40"/>
      <c r="U574" s="40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</row>
    <row r="575" spans="1:35" x14ac:dyDescent="0.25">
      <c r="A575" s="48">
        <v>40</v>
      </c>
      <c r="B575" s="166" t="s">
        <v>132</v>
      </c>
      <c r="C575" s="166" t="s">
        <v>131</v>
      </c>
      <c r="D575" s="150">
        <f t="shared" si="25"/>
        <v>0</v>
      </c>
      <c r="E575" s="48"/>
      <c r="F575" s="48"/>
      <c r="G575" s="35"/>
      <c r="H575" s="35"/>
      <c r="I575" s="35"/>
      <c r="J575" s="35"/>
      <c r="K575" s="35"/>
      <c r="L575" s="35"/>
      <c r="M575" s="48"/>
      <c r="N575" s="48"/>
      <c r="O575" s="48"/>
      <c r="P575" s="48"/>
      <c r="Q575" s="48"/>
      <c r="R575" s="40"/>
      <c r="S575" s="40"/>
      <c r="T575" s="40"/>
      <c r="U575" s="40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</row>
    <row r="576" spans="1:35" x14ac:dyDescent="0.25">
      <c r="A576" s="48">
        <v>41</v>
      </c>
      <c r="B576" s="166" t="s">
        <v>136</v>
      </c>
      <c r="C576" s="166" t="s">
        <v>301</v>
      </c>
      <c r="D576" s="150">
        <f t="shared" si="25"/>
        <v>0</v>
      </c>
      <c r="E576" s="48"/>
      <c r="F576" s="48"/>
      <c r="G576" s="35"/>
      <c r="H576" s="35"/>
      <c r="I576" s="35"/>
      <c r="J576" s="35"/>
      <c r="K576" s="35"/>
      <c r="L576" s="35"/>
      <c r="M576" s="48"/>
      <c r="N576" s="48"/>
      <c r="O576" s="48"/>
      <c r="P576" s="48"/>
      <c r="Q576" s="48"/>
      <c r="R576" s="40"/>
      <c r="S576" s="40"/>
      <c r="T576" s="40"/>
      <c r="U576" s="40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</row>
    <row r="577" spans="1:35" x14ac:dyDescent="0.25">
      <c r="A577" s="48">
        <v>42</v>
      </c>
      <c r="B577" s="166" t="s">
        <v>683</v>
      </c>
      <c r="C577" s="166" t="s">
        <v>682</v>
      </c>
      <c r="D577" s="150">
        <f t="shared" si="25"/>
        <v>0</v>
      </c>
      <c r="E577" s="48"/>
      <c r="F577" s="48"/>
      <c r="G577" s="35"/>
      <c r="H577" s="35"/>
      <c r="I577" s="35"/>
      <c r="J577" s="35"/>
      <c r="K577" s="35"/>
      <c r="L577" s="35"/>
      <c r="M577" s="48"/>
      <c r="N577" s="48"/>
      <c r="O577" s="48"/>
      <c r="P577" s="48"/>
      <c r="Q577" s="48"/>
      <c r="R577" s="40"/>
      <c r="S577" s="40"/>
      <c r="T577" s="40"/>
      <c r="U577" s="40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</row>
    <row r="578" spans="1:35" x14ac:dyDescent="0.25">
      <c r="A578" s="195" t="s">
        <v>142</v>
      </c>
      <c r="B578" s="196"/>
      <c r="C578" s="197"/>
      <c r="D578" s="143">
        <f t="shared" ref="D578:AI578" si="26">+D536+D495+D336+D303+D144+D101+D54+D22+D3</f>
        <v>12076245</v>
      </c>
      <c r="E578" s="143">
        <f t="shared" si="26"/>
        <v>172487</v>
      </c>
      <c r="F578" s="143">
        <f t="shared" si="26"/>
        <v>0</v>
      </c>
      <c r="G578" s="143">
        <f t="shared" si="26"/>
        <v>282075</v>
      </c>
      <c r="H578" s="143">
        <f t="shared" si="26"/>
        <v>476454</v>
      </c>
      <c r="I578" s="143">
        <f t="shared" si="26"/>
        <v>286171</v>
      </c>
      <c r="J578" s="143">
        <f t="shared" si="26"/>
        <v>446604</v>
      </c>
      <c r="K578" s="143">
        <f t="shared" si="26"/>
        <v>374250</v>
      </c>
      <c r="L578" s="143">
        <f t="shared" si="26"/>
        <v>508885</v>
      </c>
      <c r="M578" s="143">
        <f t="shared" si="26"/>
        <v>535510</v>
      </c>
      <c r="N578" s="143">
        <f t="shared" si="26"/>
        <v>602512</v>
      </c>
      <c r="O578" s="143">
        <f t="shared" si="26"/>
        <v>619648</v>
      </c>
      <c r="P578" s="143">
        <f t="shared" si="26"/>
        <v>531558</v>
      </c>
      <c r="Q578" s="143">
        <f t="shared" si="26"/>
        <v>232000</v>
      </c>
      <c r="R578" s="143">
        <f t="shared" si="26"/>
        <v>0</v>
      </c>
      <c r="S578" s="143">
        <f t="shared" si="26"/>
        <v>0</v>
      </c>
      <c r="T578" s="143">
        <f t="shared" si="26"/>
        <v>0</v>
      </c>
      <c r="U578" s="143">
        <f t="shared" si="26"/>
        <v>488510</v>
      </c>
      <c r="V578" s="143">
        <f t="shared" si="26"/>
        <v>424525</v>
      </c>
      <c r="W578" s="143">
        <f t="shared" si="26"/>
        <v>350437</v>
      </c>
      <c r="X578" s="143">
        <f t="shared" si="26"/>
        <v>433022</v>
      </c>
      <c r="Y578" s="143">
        <f t="shared" si="26"/>
        <v>495455</v>
      </c>
      <c r="Z578" s="143">
        <f t="shared" si="26"/>
        <v>520576</v>
      </c>
      <c r="AA578" s="143">
        <f t="shared" si="26"/>
        <v>355710</v>
      </c>
      <c r="AB578" s="143">
        <f t="shared" si="26"/>
        <v>466382</v>
      </c>
      <c r="AC578" s="143">
        <f t="shared" si="26"/>
        <v>580406</v>
      </c>
      <c r="AD578" s="143">
        <f t="shared" si="26"/>
        <v>537238</v>
      </c>
      <c r="AE578" s="143">
        <f t="shared" si="26"/>
        <v>487129</v>
      </c>
      <c r="AF578" s="143">
        <f t="shared" si="26"/>
        <v>610503</v>
      </c>
      <c r="AG578" s="143">
        <f t="shared" si="26"/>
        <v>312435</v>
      </c>
      <c r="AH578" s="143">
        <f t="shared" si="26"/>
        <v>416661</v>
      </c>
      <c r="AI578" s="143">
        <f t="shared" si="26"/>
        <v>529102</v>
      </c>
    </row>
    <row r="583" spans="1:35" x14ac:dyDescent="0.25"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x14ac:dyDescent="0.25"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x14ac:dyDescent="0.25"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x14ac:dyDescent="0.25"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x14ac:dyDescent="0.25"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x14ac:dyDescent="0.25"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x14ac:dyDescent="0.25"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x14ac:dyDescent="0.25"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x14ac:dyDescent="0.25"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x14ac:dyDescent="0.25"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="32" customFormat="1" x14ac:dyDescent="0.25"/>
    <row r="594" s="32" customFormat="1" x14ac:dyDescent="0.25"/>
    <row r="595" s="32" customFormat="1" x14ac:dyDescent="0.25"/>
    <row r="596" s="32" customFormat="1" x14ac:dyDescent="0.25"/>
    <row r="597" s="32" customFormat="1" x14ac:dyDescent="0.25"/>
    <row r="598" s="32" customFormat="1" x14ac:dyDescent="0.25"/>
    <row r="599" s="32" customFormat="1" x14ac:dyDescent="0.25"/>
    <row r="600" s="32" customFormat="1" x14ac:dyDescent="0.25"/>
    <row r="601" s="32" customFormat="1" x14ac:dyDescent="0.25"/>
    <row r="602" s="32" customFormat="1" x14ac:dyDescent="0.25"/>
    <row r="603" s="32" customFormat="1" x14ac:dyDescent="0.25"/>
    <row r="604" s="32" customFormat="1" x14ac:dyDescent="0.25"/>
    <row r="605" s="32" customFormat="1" x14ac:dyDescent="0.25"/>
    <row r="606" s="32" customFormat="1" x14ac:dyDescent="0.25"/>
    <row r="607" s="32" customFormat="1" x14ac:dyDescent="0.25"/>
    <row r="608" s="32" customFormat="1" x14ac:dyDescent="0.25"/>
    <row r="609" s="32" customFormat="1" x14ac:dyDescent="0.25"/>
    <row r="610" s="32" customFormat="1" x14ac:dyDescent="0.25"/>
    <row r="611" s="32" customFormat="1" x14ac:dyDescent="0.25"/>
    <row r="612" s="32" customFormat="1" x14ac:dyDescent="0.25"/>
    <row r="613" s="32" customFormat="1" x14ac:dyDescent="0.25"/>
    <row r="614" s="32" customFormat="1" x14ac:dyDescent="0.25"/>
    <row r="615" s="32" customFormat="1" x14ac:dyDescent="0.25"/>
    <row r="624" s="32" customFormat="1" x14ac:dyDescent="0.25"/>
    <row r="625" s="32" customFormat="1" x14ac:dyDescent="0.25"/>
    <row r="626" s="32" customFormat="1" x14ac:dyDescent="0.25"/>
    <row r="627" s="32" customFormat="1" x14ac:dyDescent="0.25"/>
    <row r="628" s="32" customFormat="1" x14ac:dyDescent="0.25"/>
    <row r="629" s="32" customFormat="1" x14ac:dyDescent="0.25"/>
    <row r="630" s="32" customFormat="1" x14ac:dyDescent="0.25"/>
    <row r="631" s="32" customFormat="1" x14ac:dyDescent="0.25"/>
    <row r="632" s="32" customFormat="1" x14ac:dyDescent="0.25"/>
    <row r="633" s="32" customFormat="1" x14ac:dyDescent="0.25"/>
    <row r="634" s="32" customFormat="1" x14ac:dyDescent="0.25"/>
    <row r="635" s="32" customFormat="1" x14ac:dyDescent="0.25"/>
    <row r="636" s="32" customFormat="1" x14ac:dyDescent="0.25"/>
    <row r="637" s="32" customFormat="1" x14ac:dyDescent="0.25"/>
    <row r="638" s="32" customFormat="1" x14ac:dyDescent="0.25"/>
    <row r="639" s="32" customFormat="1" x14ac:dyDescent="0.25"/>
    <row r="640" s="32" customFormat="1" x14ac:dyDescent="0.25"/>
    <row r="641" s="32" customFormat="1" x14ac:dyDescent="0.25"/>
    <row r="642" s="32" customFormat="1" x14ac:dyDescent="0.25"/>
    <row r="643" s="32" customFormat="1" x14ac:dyDescent="0.25"/>
    <row r="644" s="32" customFormat="1" x14ac:dyDescent="0.25"/>
    <row r="645" s="32" customFormat="1" x14ac:dyDescent="0.25"/>
    <row r="646" s="32" customFormat="1" x14ac:dyDescent="0.25"/>
    <row r="647" s="32" customFormat="1" x14ac:dyDescent="0.25"/>
    <row r="648" s="32" customFormat="1" x14ac:dyDescent="0.25"/>
    <row r="649" s="32" customFormat="1" x14ac:dyDescent="0.25"/>
    <row r="650" s="32" customFormat="1" x14ac:dyDescent="0.25"/>
    <row r="651" s="32" customFormat="1" x14ac:dyDescent="0.25"/>
    <row r="652" s="32" customFormat="1" x14ac:dyDescent="0.25"/>
    <row r="653" s="32" customFormat="1" x14ac:dyDescent="0.25"/>
    <row r="654" s="32" customFormat="1" x14ac:dyDescent="0.25"/>
    <row r="655" s="32" customFormat="1" x14ac:dyDescent="0.25"/>
    <row r="656" s="32" customFormat="1" x14ac:dyDescent="0.25"/>
    <row r="657" s="32" customFormat="1" x14ac:dyDescent="0.25"/>
    <row r="658" s="32" customFormat="1" x14ac:dyDescent="0.25"/>
    <row r="659" s="32" customFormat="1" x14ac:dyDescent="0.25"/>
    <row r="660" s="32" customFormat="1" x14ac:dyDescent="0.25"/>
    <row r="661" s="32" customFormat="1" x14ac:dyDescent="0.25"/>
    <row r="662" s="32" customFormat="1" x14ac:dyDescent="0.25"/>
    <row r="663" s="32" customFormat="1" x14ac:dyDescent="0.25"/>
    <row r="664" s="32" customFormat="1" x14ac:dyDescent="0.25"/>
    <row r="665" s="32" customFormat="1" x14ac:dyDescent="0.25"/>
    <row r="666" s="32" customFormat="1" x14ac:dyDescent="0.25"/>
    <row r="667" s="32" customFormat="1" x14ac:dyDescent="0.25"/>
    <row r="668" s="32" customFormat="1" x14ac:dyDescent="0.25"/>
    <row r="669" s="32" customFormat="1" x14ac:dyDescent="0.25"/>
    <row r="670" s="32" customFormat="1" x14ac:dyDescent="0.25"/>
    <row r="671" s="32" customFormat="1" x14ac:dyDescent="0.25"/>
    <row r="672" s="32" customFormat="1" x14ac:dyDescent="0.25"/>
    <row r="673" s="32" customFormat="1" x14ac:dyDescent="0.25"/>
    <row r="674" s="32" customFormat="1" x14ac:dyDescent="0.25"/>
    <row r="675" s="32" customFormat="1" x14ac:dyDescent="0.25"/>
    <row r="676" s="32" customFormat="1" x14ac:dyDescent="0.25"/>
    <row r="680" s="32" customFormat="1" x14ac:dyDescent="0.25"/>
    <row r="681" s="32" customFormat="1" x14ac:dyDescent="0.25"/>
  </sheetData>
  <autoFilter ref="A2:AI578" xr:uid="{00000000-0009-0000-0000-000004000000}"/>
  <mergeCells count="2">
    <mergeCell ref="A1:AF1"/>
    <mergeCell ref="A578:C578"/>
  </mergeCells>
  <conditionalFormatting sqref="B13">
    <cfRule type="duplicateValues" dxfId="5240" priority="3981"/>
    <cfRule type="duplicateValues" dxfId="5239" priority="3992"/>
    <cfRule type="duplicateValues" dxfId="5238" priority="3991"/>
    <cfRule type="duplicateValues" dxfId="5237" priority="3994"/>
    <cfRule type="duplicateValues" dxfId="5236" priority="3977"/>
    <cfRule type="duplicateValues" dxfId="5235" priority="3980"/>
    <cfRule type="duplicateValues" dxfId="5234" priority="3979"/>
    <cfRule type="duplicateValues" dxfId="5233" priority="3990"/>
    <cfRule type="duplicateValues" dxfId="5232" priority="3978"/>
    <cfRule type="duplicateValues" dxfId="5231" priority="3989"/>
    <cfRule type="duplicateValues" dxfId="5230" priority="3988"/>
    <cfRule type="duplicateValues" dxfId="5229" priority="3987"/>
    <cfRule type="duplicateValues" dxfId="5228" priority="3986"/>
    <cfRule type="duplicateValues" dxfId="5227" priority="3985"/>
    <cfRule type="duplicateValues" dxfId="5226" priority="3984"/>
    <cfRule type="duplicateValues" dxfId="5225" priority="3983"/>
    <cfRule type="duplicateValues" dxfId="5224" priority="3982"/>
    <cfRule type="duplicateValues" dxfId="5223" priority="3993"/>
  </conditionalFormatting>
  <conditionalFormatting sqref="B14">
    <cfRule type="duplicateValues" dxfId="5222" priority="3707"/>
    <cfRule type="duplicateValues" dxfId="5221" priority="3706"/>
    <cfRule type="duplicateValues" dxfId="5220" priority="3705"/>
    <cfRule type="duplicateValues" dxfId="5219" priority="3715"/>
    <cfRule type="duplicateValues" dxfId="5218" priority="3714"/>
    <cfRule type="duplicateValues" dxfId="5217" priority="3713"/>
    <cfRule type="duplicateValues" dxfId="5216" priority="3712"/>
    <cfRule type="duplicateValues" dxfId="5215" priority="3711"/>
    <cfRule type="duplicateValues" dxfId="5214" priority="3710"/>
    <cfRule type="duplicateValues" dxfId="5213" priority="3704"/>
    <cfRule type="duplicateValues" dxfId="5212" priority="3708"/>
    <cfRule type="duplicateValues" dxfId="5211" priority="3709"/>
    <cfRule type="duplicateValues" dxfId="5210" priority="3703"/>
    <cfRule type="duplicateValues" dxfId="5209" priority="3720"/>
    <cfRule type="duplicateValues" dxfId="5208" priority="3719"/>
    <cfRule type="duplicateValues" dxfId="5207" priority="3718"/>
    <cfRule type="duplicateValues" dxfId="5206" priority="3717"/>
    <cfRule type="duplicateValues" dxfId="5205" priority="3716"/>
  </conditionalFormatting>
  <conditionalFormatting sqref="C4">
    <cfRule type="duplicateValues" dxfId="5204" priority="5416"/>
    <cfRule type="duplicateValues" dxfId="5203" priority="5417"/>
    <cfRule type="duplicateValues" dxfId="5202" priority="5418"/>
    <cfRule type="duplicateValues" dxfId="5201" priority="5419"/>
    <cfRule type="duplicateValues" dxfId="5200" priority="5409"/>
    <cfRule type="duplicateValues" dxfId="5199" priority="5408"/>
    <cfRule type="duplicateValues" dxfId="5198" priority="5410"/>
    <cfRule type="duplicateValues" dxfId="5197" priority="5411"/>
    <cfRule type="duplicateValues" dxfId="5196" priority="5412"/>
    <cfRule type="duplicateValues" dxfId="5195" priority="5413"/>
    <cfRule type="duplicateValues" dxfId="5194" priority="5414"/>
    <cfRule type="duplicateValues" dxfId="5193" priority="5415"/>
  </conditionalFormatting>
  <conditionalFormatting sqref="C5">
    <cfRule type="duplicateValues" dxfId="5192" priority="626"/>
  </conditionalFormatting>
  <conditionalFormatting sqref="C6">
    <cfRule type="duplicateValues" dxfId="5191" priority="5402"/>
    <cfRule type="duplicateValues" dxfId="5190" priority="5403"/>
    <cfRule type="duplicateValues" dxfId="5189" priority="5407"/>
    <cfRule type="duplicateValues" dxfId="5188" priority="5404"/>
    <cfRule type="duplicateValues" dxfId="5187" priority="5406"/>
    <cfRule type="duplicateValues" dxfId="5186" priority="5405"/>
    <cfRule type="duplicateValues" dxfId="5185" priority="5396"/>
    <cfRule type="duplicateValues" dxfId="5184" priority="5397"/>
    <cfRule type="duplicateValues" dxfId="5183" priority="5398"/>
    <cfRule type="duplicateValues" dxfId="5182" priority="5399"/>
    <cfRule type="duplicateValues" dxfId="5181" priority="5400"/>
    <cfRule type="duplicateValues" dxfId="5180" priority="5401"/>
  </conditionalFormatting>
  <conditionalFormatting sqref="C7">
    <cfRule type="duplicateValues" dxfId="5179" priority="125"/>
  </conditionalFormatting>
  <conditionalFormatting sqref="C8:C9">
    <cfRule type="duplicateValues" dxfId="5178" priority="64"/>
    <cfRule type="duplicateValues" dxfId="5177" priority="65"/>
  </conditionalFormatting>
  <conditionalFormatting sqref="C10">
    <cfRule type="duplicateValues" dxfId="5176" priority="5085"/>
    <cfRule type="duplicateValues" dxfId="5175" priority="5082"/>
    <cfRule type="duplicateValues" dxfId="5174" priority="5083"/>
    <cfRule type="duplicateValues" dxfId="5173" priority="5084"/>
    <cfRule type="duplicateValues" dxfId="5172" priority="5086"/>
    <cfRule type="duplicateValues" dxfId="5171" priority="5087"/>
    <cfRule type="duplicateValues" dxfId="5170" priority="5088"/>
    <cfRule type="duplicateValues" dxfId="5169" priority="5089"/>
    <cfRule type="duplicateValues" dxfId="5168" priority="5090"/>
    <cfRule type="duplicateValues" dxfId="5167" priority="5091"/>
    <cfRule type="duplicateValues" dxfId="5166" priority="5092"/>
    <cfRule type="duplicateValues" dxfId="5165" priority="5093"/>
    <cfRule type="duplicateValues" dxfId="5164" priority="5094"/>
  </conditionalFormatting>
  <conditionalFormatting sqref="C11">
    <cfRule type="duplicateValues" dxfId="5163" priority="935"/>
    <cfRule type="duplicateValues" dxfId="5162" priority="934"/>
    <cfRule type="duplicateValues" dxfId="5161" priority="933"/>
  </conditionalFormatting>
  <conditionalFormatting sqref="C12">
    <cfRule type="duplicateValues" dxfId="5160" priority="4669"/>
    <cfRule type="duplicateValues" dxfId="5159" priority="4673"/>
    <cfRule type="duplicateValues" dxfId="5158" priority="4672"/>
    <cfRule type="duplicateValues" dxfId="5157" priority="4662"/>
    <cfRule type="duplicateValues" dxfId="5156" priority="4670"/>
    <cfRule type="duplicateValues" dxfId="5155" priority="4671"/>
    <cfRule type="duplicateValues" dxfId="5154" priority="4668"/>
    <cfRule type="duplicateValues" dxfId="5153" priority="4667"/>
    <cfRule type="duplicateValues" dxfId="5152" priority="4666"/>
    <cfRule type="duplicateValues" dxfId="5151" priority="4665"/>
    <cfRule type="duplicateValues" dxfId="5150" priority="4664"/>
    <cfRule type="duplicateValues" dxfId="5149" priority="4663"/>
    <cfRule type="duplicateValues" dxfId="5148" priority="4675"/>
    <cfRule type="duplicateValues" dxfId="5147" priority="4674"/>
  </conditionalFormatting>
  <conditionalFormatting sqref="C13">
    <cfRule type="duplicateValues" dxfId="5146" priority="4001"/>
    <cfRule type="duplicateValues" dxfId="5145" priority="4002"/>
    <cfRule type="duplicateValues" dxfId="5144" priority="4003"/>
    <cfRule type="duplicateValues" dxfId="5143" priority="4004"/>
    <cfRule type="duplicateValues" dxfId="5142" priority="4005"/>
    <cfRule type="duplicateValues" dxfId="5141" priority="4006"/>
    <cfRule type="duplicateValues" dxfId="5140" priority="4007"/>
    <cfRule type="duplicateValues" dxfId="5139" priority="4008"/>
    <cfRule type="duplicateValues" dxfId="5138" priority="4009"/>
    <cfRule type="duplicateValues" dxfId="5137" priority="4010"/>
    <cfRule type="duplicateValues" dxfId="5136" priority="4011"/>
    <cfRule type="duplicateValues" dxfId="5135" priority="4015"/>
    <cfRule type="duplicateValues" dxfId="5134" priority="4024"/>
    <cfRule type="duplicateValues" dxfId="5133" priority="4025"/>
    <cfRule type="duplicateValues" dxfId="5132" priority="4012"/>
    <cfRule type="duplicateValues" dxfId="5131" priority="4013"/>
    <cfRule type="duplicateValues" dxfId="5130" priority="4014"/>
    <cfRule type="duplicateValues" dxfId="5129" priority="4016"/>
    <cfRule type="duplicateValues" dxfId="5128" priority="4017"/>
    <cfRule type="duplicateValues" dxfId="5127" priority="4018"/>
    <cfRule type="duplicateValues" dxfId="5126" priority="4019"/>
    <cfRule type="duplicateValues" dxfId="5125" priority="3995"/>
    <cfRule type="duplicateValues" dxfId="5124" priority="4020"/>
    <cfRule type="duplicateValues" dxfId="5123" priority="3996"/>
    <cfRule type="duplicateValues" dxfId="5122" priority="3997"/>
    <cfRule type="duplicateValues" dxfId="5121" priority="3998"/>
    <cfRule type="duplicateValues" dxfId="5120" priority="3999"/>
    <cfRule type="duplicateValues" dxfId="5119" priority="4000"/>
    <cfRule type="duplicateValues" dxfId="5118" priority="4021"/>
    <cfRule type="duplicateValues" dxfId="5117" priority="4022"/>
    <cfRule type="duplicateValues" dxfId="5116" priority="4023"/>
  </conditionalFormatting>
  <conditionalFormatting sqref="C14">
    <cfRule type="duplicateValues" dxfId="5115" priority="3727"/>
    <cfRule type="duplicateValues" dxfId="5114" priority="3728"/>
    <cfRule type="duplicateValues" dxfId="5113" priority="3729"/>
    <cfRule type="duplicateValues" dxfId="5112" priority="3730"/>
    <cfRule type="duplicateValues" dxfId="5111" priority="3731"/>
    <cfRule type="duplicateValues" dxfId="5110" priority="3735"/>
    <cfRule type="duplicateValues" dxfId="5109" priority="3750"/>
    <cfRule type="duplicateValues" dxfId="5108" priority="3751"/>
    <cfRule type="duplicateValues" dxfId="5107" priority="3733"/>
    <cfRule type="duplicateValues" dxfId="5106" priority="3734"/>
    <cfRule type="duplicateValues" dxfId="5105" priority="3736"/>
    <cfRule type="duplicateValues" dxfId="5104" priority="3737"/>
    <cfRule type="duplicateValues" dxfId="5103" priority="3738"/>
    <cfRule type="duplicateValues" dxfId="5102" priority="3739"/>
    <cfRule type="duplicateValues" dxfId="5101" priority="3740"/>
    <cfRule type="duplicateValues" dxfId="5100" priority="3741"/>
    <cfRule type="duplicateValues" dxfId="5099" priority="3742"/>
    <cfRule type="duplicateValues" dxfId="5098" priority="3743"/>
    <cfRule type="duplicateValues" dxfId="5097" priority="3744"/>
    <cfRule type="duplicateValues" dxfId="5096" priority="3745"/>
    <cfRule type="duplicateValues" dxfId="5095" priority="3721"/>
    <cfRule type="duplicateValues" dxfId="5094" priority="3746"/>
    <cfRule type="duplicateValues" dxfId="5093" priority="3747"/>
    <cfRule type="duplicateValues" dxfId="5092" priority="3748"/>
    <cfRule type="duplicateValues" dxfId="5091" priority="3732"/>
    <cfRule type="duplicateValues" dxfId="5090" priority="3749"/>
    <cfRule type="duplicateValues" dxfId="5089" priority="3722"/>
    <cfRule type="duplicateValues" dxfId="5088" priority="3723"/>
    <cfRule type="duplicateValues" dxfId="5087" priority="3724"/>
    <cfRule type="duplicateValues" dxfId="5086" priority="3725"/>
    <cfRule type="duplicateValues" dxfId="5085" priority="3726"/>
  </conditionalFormatting>
  <conditionalFormatting sqref="C15">
    <cfRule type="duplicateValues" dxfId="5084" priority="87"/>
  </conditionalFormatting>
  <conditionalFormatting sqref="C16">
    <cfRule type="duplicateValues" dxfId="5083" priority="1111"/>
    <cfRule type="duplicateValues" dxfId="5082" priority="1112"/>
  </conditionalFormatting>
  <conditionalFormatting sqref="C17">
    <cfRule type="duplicateValues" dxfId="5081" priority="126"/>
  </conditionalFormatting>
  <conditionalFormatting sqref="C18">
    <cfRule type="duplicateValues" dxfId="5080" priority="814"/>
  </conditionalFormatting>
  <conditionalFormatting sqref="C19">
    <cfRule type="duplicateValues" dxfId="5079" priority="123"/>
  </conditionalFormatting>
  <conditionalFormatting sqref="C20">
    <cfRule type="duplicateValues" dxfId="5078" priority="1732"/>
  </conditionalFormatting>
  <conditionalFormatting sqref="C21">
    <cfRule type="duplicateValues" dxfId="5077" priority="1733"/>
  </conditionalFormatting>
  <conditionalFormatting sqref="C23">
    <cfRule type="duplicateValues" dxfId="5076" priority="4493"/>
    <cfRule type="duplicateValues" dxfId="5075" priority="4495"/>
    <cfRule type="duplicateValues" dxfId="5074" priority="4499"/>
    <cfRule type="duplicateValues" dxfId="5073" priority="4498"/>
    <cfRule type="duplicateValues" dxfId="5072" priority="4497"/>
    <cfRule type="duplicateValues" dxfId="5071" priority="4505"/>
    <cfRule type="duplicateValues" dxfId="5070" priority="4504"/>
    <cfRule type="duplicateValues" dxfId="5069" priority="4503"/>
    <cfRule type="duplicateValues" dxfId="5068" priority="4502"/>
    <cfRule type="duplicateValues" dxfId="5067" priority="4501"/>
    <cfRule type="duplicateValues" dxfId="5066" priority="4492"/>
    <cfRule type="duplicateValues" dxfId="5065" priority="4500"/>
    <cfRule type="duplicateValues" dxfId="5064" priority="4496"/>
    <cfRule type="duplicateValues" dxfId="5063" priority="4494"/>
  </conditionalFormatting>
  <conditionalFormatting sqref="C25">
    <cfRule type="duplicateValues" dxfId="5062" priority="479"/>
  </conditionalFormatting>
  <conditionalFormatting sqref="C26">
    <cfRule type="duplicateValues" dxfId="5061" priority="91"/>
  </conditionalFormatting>
  <conditionalFormatting sqref="C27">
    <cfRule type="duplicateValues" dxfId="5060" priority="3755"/>
    <cfRule type="duplicateValues" dxfId="5059" priority="3762"/>
    <cfRule type="duplicateValues" dxfId="5058" priority="3761"/>
    <cfRule type="duplicateValues" dxfId="5057" priority="3763"/>
    <cfRule type="duplicateValues" dxfId="5056" priority="3758"/>
    <cfRule type="duplicateValues" dxfId="5055" priority="3759"/>
    <cfRule type="duplicateValues" dxfId="5054" priority="3752"/>
    <cfRule type="duplicateValues" dxfId="5053" priority="3760"/>
    <cfRule type="duplicateValues" dxfId="5052" priority="3766"/>
    <cfRule type="duplicateValues" dxfId="5051" priority="3765"/>
    <cfRule type="duplicateValues" dxfId="5050" priority="3764"/>
    <cfRule type="duplicateValues" dxfId="5049" priority="3757"/>
    <cfRule type="duplicateValues" dxfId="5048" priority="3753"/>
    <cfRule type="duplicateValues" dxfId="5047" priority="3756"/>
    <cfRule type="duplicateValues" dxfId="5046" priority="3754"/>
  </conditionalFormatting>
  <conditionalFormatting sqref="C28:C29">
    <cfRule type="duplicateValues" dxfId="5045" priority="124"/>
  </conditionalFormatting>
  <conditionalFormatting sqref="C31">
    <cfRule type="duplicateValues" dxfId="5044" priority="323"/>
    <cfRule type="duplicateValues" dxfId="5043" priority="325"/>
    <cfRule type="duplicateValues" dxfId="5042" priority="324"/>
  </conditionalFormatting>
  <conditionalFormatting sqref="C32">
    <cfRule type="duplicateValues" dxfId="5041" priority="130"/>
  </conditionalFormatting>
  <conditionalFormatting sqref="C33:C34">
    <cfRule type="duplicateValues" dxfId="5040" priority="1642"/>
    <cfRule type="duplicateValues" dxfId="5039" priority="1641"/>
    <cfRule type="duplicateValues" dxfId="5038" priority="1639"/>
    <cfRule type="duplicateValues" dxfId="5037" priority="1646"/>
    <cfRule type="duplicateValues" dxfId="5036" priority="1645"/>
    <cfRule type="duplicateValues" dxfId="5035" priority="1640"/>
    <cfRule type="duplicateValues" dxfId="5034" priority="1643"/>
    <cfRule type="duplicateValues" dxfId="5033" priority="1644"/>
  </conditionalFormatting>
  <conditionalFormatting sqref="C35">
    <cfRule type="duplicateValues" dxfId="5032" priority="1816"/>
    <cfRule type="duplicateValues" dxfId="5031" priority="1819"/>
    <cfRule type="duplicateValues" dxfId="5030" priority="1818"/>
    <cfRule type="duplicateValues" dxfId="5029" priority="1817"/>
  </conditionalFormatting>
  <conditionalFormatting sqref="C37">
    <cfRule type="duplicateValues" dxfId="5028" priority="153"/>
    <cfRule type="duplicateValues" dxfId="5027" priority="152"/>
  </conditionalFormatting>
  <conditionalFormatting sqref="C39">
    <cfRule type="duplicateValues" dxfId="5026" priority="160"/>
    <cfRule type="duplicateValues" dxfId="5025" priority="161"/>
    <cfRule type="duplicateValues" dxfId="5024" priority="159"/>
    <cfRule type="duplicateValues" dxfId="5023" priority="158"/>
  </conditionalFormatting>
  <conditionalFormatting sqref="C40">
    <cfRule type="duplicateValues" dxfId="5022" priority="3"/>
    <cfRule type="duplicateValues" dxfId="5021" priority="4"/>
    <cfRule type="duplicateValues" dxfId="5020" priority="5"/>
    <cfRule type="duplicateValues" dxfId="5019" priority="6"/>
    <cfRule type="duplicateValues" dxfId="5018" priority="7"/>
  </conditionalFormatting>
  <conditionalFormatting sqref="C41">
    <cfRule type="duplicateValues" dxfId="5017" priority="151"/>
    <cfRule type="duplicateValues" dxfId="5016" priority="150"/>
  </conditionalFormatting>
  <conditionalFormatting sqref="C42">
    <cfRule type="duplicateValues" dxfId="5015" priority="4729"/>
    <cfRule type="duplicateValues" dxfId="5014" priority="4734"/>
    <cfRule type="duplicateValues" dxfId="5013" priority="4733"/>
    <cfRule type="duplicateValues" dxfId="5012" priority="4731"/>
    <cfRule type="duplicateValues" dxfId="5011" priority="4730"/>
    <cfRule type="duplicateValues" dxfId="5010" priority="4725"/>
    <cfRule type="duplicateValues" dxfId="5009" priority="4728"/>
    <cfRule type="duplicateValues" dxfId="5008" priority="4727"/>
    <cfRule type="duplicateValues" dxfId="5007" priority="4726"/>
    <cfRule type="duplicateValues" dxfId="5006" priority="4721"/>
    <cfRule type="duplicateValues" dxfId="5005" priority="4732"/>
    <cfRule type="duplicateValues" dxfId="5004" priority="4723"/>
    <cfRule type="duplicateValues" dxfId="5003" priority="4722"/>
    <cfRule type="duplicateValues" dxfId="5002" priority="4724"/>
  </conditionalFormatting>
  <conditionalFormatting sqref="C43">
    <cfRule type="duplicateValues" dxfId="5001" priority="4677"/>
    <cfRule type="duplicateValues" dxfId="5000" priority="4683"/>
    <cfRule type="duplicateValues" dxfId="4999" priority="4685"/>
    <cfRule type="duplicateValues" dxfId="4998" priority="4681"/>
    <cfRule type="duplicateValues" dxfId="4997" priority="4686"/>
    <cfRule type="duplicateValues" dxfId="4996" priority="4687"/>
    <cfRule type="duplicateValues" dxfId="4995" priority="4682"/>
    <cfRule type="duplicateValues" dxfId="4994" priority="4689"/>
    <cfRule type="duplicateValues" dxfId="4993" priority="4680"/>
    <cfRule type="duplicateValues" dxfId="4992" priority="4684"/>
    <cfRule type="duplicateValues" dxfId="4991" priority="4688"/>
    <cfRule type="duplicateValues" dxfId="4990" priority="4679"/>
    <cfRule type="duplicateValues" dxfId="4989" priority="4678"/>
    <cfRule type="duplicateValues" dxfId="4988" priority="4676"/>
  </conditionalFormatting>
  <conditionalFormatting sqref="C44">
    <cfRule type="duplicateValues" dxfId="4987" priority="9"/>
  </conditionalFormatting>
  <conditionalFormatting sqref="C45">
    <cfRule type="duplicateValues" dxfId="4986" priority="3870"/>
    <cfRule type="duplicateValues" dxfId="4985" priority="3871"/>
    <cfRule type="duplicateValues" dxfId="4984" priority="3873"/>
    <cfRule type="duplicateValues" dxfId="4983" priority="3872"/>
  </conditionalFormatting>
  <conditionalFormatting sqref="C46">
    <cfRule type="duplicateValues" dxfId="4982" priority="4530"/>
    <cfRule type="duplicateValues" dxfId="4981" priority="4532"/>
    <cfRule type="duplicateValues" dxfId="4980" priority="4531"/>
  </conditionalFormatting>
  <conditionalFormatting sqref="C47 C51 C36 C38">
    <cfRule type="duplicateValues" dxfId="4979" priority="5383"/>
  </conditionalFormatting>
  <conditionalFormatting sqref="C48">
    <cfRule type="duplicateValues" dxfId="4978" priority="118"/>
    <cfRule type="duplicateValues" dxfId="4977" priority="117"/>
    <cfRule type="duplicateValues" dxfId="4976" priority="116"/>
  </conditionalFormatting>
  <conditionalFormatting sqref="C49">
    <cfRule type="duplicateValues" dxfId="4975" priority="114"/>
    <cfRule type="duplicateValues" dxfId="4974" priority="113"/>
    <cfRule type="duplicateValues" dxfId="4973" priority="115"/>
  </conditionalFormatting>
  <conditionalFormatting sqref="C50">
    <cfRule type="duplicateValues" dxfId="4972" priority="4145"/>
    <cfRule type="duplicateValues" dxfId="4971" priority="4144"/>
    <cfRule type="duplicateValues" dxfId="4970" priority="4142"/>
    <cfRule type="duplicateValues" dxfId="4969" priority="4143"/>
  </conditionalFormatting>
  <conditionalFormatting sqref="C52">
    <cfRule type="duplicateValues" dxfId="4968" priority="4626"/>
    <cfRule type="duplicateValues" dxfId="4967" priority="4627"/>
    <cfRule type="duplicateValues" dxfId="4966" priority="4625"/>
  </conditionalFormatting>
  <conditionalFormatting sqref="C53">
    <cfRule type="duplicateValues" dxfId="4965" priority="88"/>
  </conditionalFormatting>
  <conditionalFormatting sqref="C55:C56">
    <cfRule type="duplicateValues" dxfId="4964" priority="135"/>
    <cfRule type="duplicateValues" dxfId="4963" priority="134"/>
  </conditionalFormatting>
  <conditionalFormatting sqref="C57">
    <cfRule type="duplicateValues" dxfId="4962" priority="470"/>
  </conditionalFormatting>
  <conditionalFormatting sqref="C58">
    <cfRule type="duplicateValues" dxfId="4961" priority="5369"/>
    <cfRule type="duplicateValues" dxfId="4960" priority="5367"/>
    <cfRule type="duplicateValues" dxfId="4959" priority="5366"/>
    <cfRule type="duplicateValues" dxfId="4958" priority="5365"/>
    <cfRule type="duplicateValues" dxfId="4957" priority="5364"/>
    <cfRule type="duplicateValues" dxfId="4956" priority="5363"/>
    <cfRule type="duplicateValues" dxfId="4955" priority="5362"/>
    <cfRule type="duplicateValues" dxfId="4954" priority="5361"/>
    <cfRule type="duplicateValues" dxfId="4953" priority="5360"/>
    <cfRule type="duplicateValues" dxfId="4952" priority="5368"/>
  </conditionalFormatting>
  <conditionalFormatting sqref="C59">
    <cfRule type="duplicateValues" dxfId="4951" priority="871"/>
    <cfRule type="duplicateValues" dxfId="4950" priority="872"/>
    <cfRule type="duplicateValues" dxfId="4949" priority="873"/>
    <cfRule type="duplicateValues" dxfId="4948" priority="874"/>
    <cfRule type="duplicateValues" dxfId="4947" priority="875"/>
    <cfRule type="duplicateValues" dxfId="4946" priority="876"/>
    <cfRule type="duplicateValues" dxfId="4945" priority="877"/>
    <cfRule type="duplicateValues" dxfId="4944" priority="855"/>
    <cfRule type="duplicateValues" dxfId="4943" priority="849"/>
    <cfRule type="duplicateValues" dxfId="4942" priority="850"/>
    <cfRule type="duplicateValues" dxfId="4941" priority="851"/>
    <cfRule type="duplicateValues" dxfId="4940" priority="852"/>
    <cfRule type="duplicateValues" dxfId="4939" priority="853"/>
    <cfRule type="duplicateValues" dxfId="4938" priority="854"/>
    <cfRule type="duplicateValues" dxfId="4937" priority="856"/>
    <cfRule type="duplicateValues" dxfId="4936" priority="857"/>
    <cfRule type="duplicateValues" dxfId="4935" priority="858"/>
    <cfRule type="duplicateValues" dxfId="4934" priority="859"/>
    <cfRule type="duplicateValues" dxfId="4933" priority="860"/>
    <cfRule type="duplicateValues" dxfId="4932" priority="861"/>
    <cfRule type="duplicateValues" dxfId="4931" priority="862"/>
    <cfRule type="duplicateValues" dxfId="4930" priority="863"/>
    <cfRule type="duplicateValues" dxfId="4929" priority="864"/>
    <cfRule type="duplicateValues" dxfId="4928" priority="865"/>
    <cfRule type="duplicateValues" dxfId="4927" priority="866"/>
    <cfRule type="duplicateValues" dxfId="4926" priority="867"/>
    <cfRule type="duplicateValues" dxfId="4925" priority="868"/>
    <cfRule type="duplicateValues" dxfId="4924" priority="869"/>
    <cfRule type="duplicateValues" dxfId="4923" priority="870"/>
  </conditionalFormatting>
  <conditionalFormatting sqref="C60">
    <cfRule type="duplicateValues" dxfId="4922" priority="333"/>
  </conditionalFormatting>
  <conditionalFormatting sqref="C61">
    <cfRule type="duplicateValues" dxfId="4921" priority="2232"/>
  </conditionalFormatting>
  <conditionalFormatting sqref="C62">
    <cfRule type="duplicateValues" dxfId="4920" priority="106"/>
  </conditionalFormatting>
  <conditionalFormatting sqref="C63">
    <cfRule type="duplicateValues" dxfId="4919" priority="3599"/>
    <cfRule type="duplicateValues" dxfId="4918" priority="3598"/>
  </conditionalFormatting>
  <conditionalFormatting sqref="C64 C58">
    <cfRule type="duplicateValues" dxfId="4917" priority="5370"/>
  </conditionalFormatting>
  <conditionalFormatting sqref="C65:C66">
    <cfRule type="duplicateValues" dxfId="4916" priority="1586"/>
  </conditionalFormatting>
  <conditionalFormatting sqref="C67">
    <cfRule type="duplicateValues" dxfId="4915" priority="2493"/>
  </conditionalFormatting>
  <conditionalFormatting sqref="C68">
    <cfRule type="duplicateValues" dxfId="4914" priority="197"/>
    <cfRule type="duplicateValues" dxfId="4913" priority="196"/>
    <cfRule type="duplicateValues" dxfId="4912" priority="195"/>
    <cfRule type="duplicateValues" dxfId="4911" priority="194"/>
    <cfRule type="duplicateValues" dxfId="4910" priority="193"/>
    <cfRule type="duplicateValues" dxfId="4909" priority="192"/>
    <cfRule type="duplicateValues" dxfId="4908" priority="191"/>
    <cfRule type="duplicateValues" dxfId="4907" priority="190"/>
    <cfRule type="duplicateValues" dxfId="4906" priority="189"/>
    <cfRule type="duplicateValues" dxfId="4905" priority="188"/>
    <cfRule type="duplicateValues" dxfId="4904" priority="187"/>
    <cfRule type="duplicateValues" dxfId="4903" priority="180"/>
    <cfRule type="duplicateValues" dxfId="4902" priority="179"/>
    <cfRule type="duplicateValues" dxfId="4901" priority="182"/>
    <cfRule type="duplicateValues" dxfId="4900" priority="181"/>
    <cfRule type="duplicateValues" dxfId="4899" priority="199"/>
    <cfRule type="duplicateValues" dxfId="4898" priority="200"/>
    <cfRule type="duplicateValues" dxfId="4897" priority="186"/>
    <cfRule type="duplicateValues" dxfId="4896" priority="198"/>
    <cfRule type="duplicateValues" dxfId="4895" priority="171"/>
    <cfRule type="duplicateValues" dxfId="4894" priority="172"/>
    <cfRule type="duplicateValues" dxfId="4893" priority="173"/>
    <cfRule type="duplicateValues" dxfId="4892" priority="174"/>
    <cfRule type="duplicateValues" dxfId="4891" priority="175"/>
    <cfRule type="duplicateValues" dxfId="4890" priority="176"/>
    <cfRule type="duplicateValues" dxfId="4889" priority="177"/>
    <cfRule type="duplicateValues" dxfId="4888" priority="178"/>
    <cfRule type="duplicateValues" dxfId="4887" priority="185"/>
    <cfRule type="duplicateValues" dxfId="4886" priority="184"/>
    <cfRule type="duplicateValues" dxfId="4885" priority="183"/>
  </conditionalFormatting>
  <conditionalFormatting sqref="C71">
    <cfRule type="duplicateValues" dxfId="4884" priority="2006"/>
  </conditionalFormatting>
  <conditionalFormatting sqref="C72">
    <cfRule type="duplicateValues" dxfId="4883" priority="2005"/>
  </conditionalFormatting>
  <conditionalFormatting sqref="C73">
    <cfRule type="duplicateValues" dxfId="4882" priority="1915"/>
    <cfRule type="duplicateValues" dxfId="4881" priority="1918"/>
    <cfRule type="duplicateValues" dxfId="4880" priority="1916"/>
    <cfRule type="duplicateValues" dxfId="4879" priority="1917"/>
  </conditionalFormatting>
  <conditionalFormatting sqref="C74">
    <cfRule type="duplicateValues" dxfId="4878" priority="941"/>
  </conditionalFormatting>
  <conditionalFormatting sqref="C76">
    <cfRule type="duplicateValues" dxfId="4877" priority="936"/>
  </conditionalFormatting>
  <conditionalFormatting sqref="C77">
    <cfRule type="duplicateValues" dxfId="4876" priority="4118"/>
    <cfRule type="duplicateValues" dxfId="4875" priority="4120"/>
    <cfRule type="duplicateValues" dxfId="4874" priority="4119"/>
    <cfRule type="duplicateValues" dxfId="4873" priority="4117"/>
  </conditionalFormatting>
  <conditionalFormatting sqref="C79">
    <cfRule type="duplicateValues" dxfId="4872" priority="3802"/>
    <cfRule type="duplicateValues" dxfId="4871" priority="3803"/>
    <cfRule type="duplicateValues" dxfId="4870" priority="3805"/>
    <cfRule type="duplicateValues" dxfId="4869" priority="3804"/>
  </conditionalFormatting>
  <conditionalFormatting sqref="C80">
    <cfRule type="duplicateValues" dxfId="4868" priority="2124"/>
  </conditionalFormatting>
  <conditionalFormatting sqref="C82">
    <cfRule type="duplicateValues" dxfId="4867" priority="2169"/>
    <cfRule type="duplicateValues" dxfId="4866" priority="2168"/>
    <cfRule type="duplicateValues" dxfId="4865" priority="2167"/>
  </conditionalFormatting>
  <conditionalFormatting sqref="C83">
    <cfRule type="duplicateValues" dxfId="4864" priority="2166"/>
    <cfRule type="duplicateValues" dxfId="4863" priority="2165"/>
    <cfRule type="duplicateValues" dxfId="4862" priority="2164"/>
  </conditionalFormatting>
  <conditionalFormatting sqref="C85">
    <cfRule type="duplicateValues" dxfId="4861" priority="3090"/>
    <cfRule type="duplicateValues" dxfId="4860" priority="3086"/>
    <cfRule type="duplicateValues" dxfId="4859" priority="3084"/>
    <cfRule type="duplicateValues" dxfId="4858" priority="3091"/>
    <cfRule type="duplicateValues" dxfId="4857" priority="3087"/>
    <cfRule type="duplicateValues" dxfId="4856" priority="3088"/>
    <cfRule type="duplicateValues" dxfId="4855" priority="3085"/>
    <cfRule type="duplicateValues" dxfId="4854" priority="3089"/>
  </conditionalFormatting>
  <conditionalFormatting sqref="C90">
    <cfRule type="duplicateValues" dxfId="4853" priority="2343"/>
    <cfRule type="duplicateValues" dxfId="4852" priority="2347"/>
    <cfRule type="duplicateValues" dxfId="4851" priority="2346"/>
    <cfRule type="duplicateValues" dxfId="4850" priority="2345"/>
    <cfRule type="duplicateValues" dxfId="4849" priority="2344"/>
    <cfRule type="duplicateValues" dxfId="4848" priority="2349"/>
    <cfRule type="duplicateValues" dxfId="4847" priority="2348"/>
  </conditionalFormatting>
  <conditionalFormatting sqref="C96:C98">
    <cfRule type="duplicateValues" dxfId="4846" priority="5276"/>
    <cfRule type="duplicateValues" dxfId="4845" priority="5277"/>
    <cfRule type="duplicateValues" dxfId="4844" priority="5278"/>
    <cfRule type="duplicateValues" dxfId="4843" priority="5279"/>
    <cfRule type="duplicateValues" dxfId="4842" priority="5280"/>
    <cfRule type="duplicateValues" dxfId="4841" priority="5282"/>
    <cfRule type="duplicateValues" dxfId="4840" priority="5283"/>
    <cfRule type="duplicateValues" dxfId="4839" priority="5284"/>
    <cfRule type="duplicateValues" dxfId="4838" priority="5286"/>
    <cfRule type="duplicateValues" dxfId="4837" priority="5287"/>
    <cfRule type="duplicateValues" dxfId="4836" priority="5281"/>
    <cfRule type="duplicateValues" dxfId="4835" priority="5285"/>
  </conditionalFormatting>
  <conditionalFormatting sqref="C99:C100 C58 C91:C95 C64 C75 C86:C89 C78 C81 C84">
    <cfRule type="duplicateValues" dxfId="4834" priority="5371"/>
  </conditionalFormatting>
  <conditionalFormatting sqref="C102 C125:C126 C130:C132 C138 C128">
    <cfRule type="duplicateValues" dxfId="4833" priority="5359"/>
  </conditionalFormatting>
  <conditionalFormatting sqref="C102">
    <cfRule type="duplicateValues" dxfId="4832" priority="5352"/>
    <cfRule type="duplicateValues" dxfId="4831" priority="5353"/>
    <cfRule type="duplicateValues" dxfId="4830" priority="5354"/>
    <cfRule type="duplicateValues" dxfId="4829" priority="5355"/>
    <cfRule type="duplicateValues" dxfId="4828" priority="5356"/>
    <cfRule type="duplicateValues" dxfId="4827" priority="5357"/>
    <cfRule type="duplicateValues" dxfId="4826" priority="5348"/>
    <cfRule type="duplicateValues" dxfId="4825" priority="5349"/>
    <cfRule type="duplicateValues" dxfId="4824" priority="5350"/>
    <cfRule type="duplicateValues" dxfId="4823" priority="5351"/>
    <cfRule type="duplicateValues" dxfId="4822" priority="5358"/>
  </conditionalFormatting>
  <conditionalFormatting sqref="C103">
    <cfRule type="duplicateValues" dxfId="4821" priority="943"/>
  </conditionalFormatting>
  <conditionalFormatting sqref="C104">
    <cfRule type="duplicateValues" dxfId="4820" priority="122"/>
  </conditionalFormatting>
  <conditionalFormatting sqref="C105">
    <cfRule type="duplicateValues" dxfId="4819" priority="128"/>
    <cfRule type="duplicateValues" dxfId="4818" priority="129"/>
    <cfRule type="duplicateValues" dxfId="4817" priority="127"/>
  </conditionalFormatting>
  <conditionalFormatting sqref="C106">
    <cfRule type="duplicateValues" dxfId="4816" priority="930"/>
    <cfRule type="duplicateValues" dxfId="4815" priority="932"/>
    <cfRule type="duplicateValues" dxfId="4814" priority="931"/>
  </conditionalFormatting>
  <conditionalFormatting sqref="C107">
    <cfRule type="duplicateValues" dxfId="4813" priority="928"/>
    <cfRule type="duplicateValues" dxfId="4812" priority="929"/>
    <cfRule type="duplicateValues" dxfId="4811" priority="927"/>
  </conditionalFormatting>
  <conditionalFormatting sqref="C108">
    <cfRule type="duplicateValues" dxfId="4810" priority="3548"/>
    <cfRule type="duplicateValues" dxfId="4809" priority="3538"/>
    <cfRule type="duplicateValues" dxfId="4808" priority="3543"/>
    <cfRule type="duplicateValues" dxfId="4807" priority="3535"/>
    <cfRule type="duplicateValues" dxfId="4806" priority="3536"/>
    <cfRule type="duplicateValues" dxfId="4805" priority="3537"/>
    <cfRule type="duplicateValues" dxfId="4804" priority="3542"/>
    <cfRule type="duplicateValues" dxfId="4803" priority="3541"/>
    <cfRule type="duplicateValues" dxfId="4802" priority="3539"/>
    <cfRule type="duplicateValues" dxfId="4801" priority="3540"/>
    <cfRule type="duplicateValues" dxfId="4800" priority="3547"/>
    <cfRule type="duplicateValues" dxfId="4799" priority="3546"/>
    <cfRule type="duplicateValues" dxfId="4798" priority="3544"/>
    <cfRule type="duplicateValues" dxfId="4797" priority="3545"/>
    <cfRule type="duplicateValues" dxfId="4796" priority="3550"/>
    <cfRule type="duplicateValues" dxfId="4795" priority="3549"/>
  </conditionalFormatting>
  <conditionalFormatting sqref="C109">
    <cfRule type="duplicateValues" dxfId="4794" priority="1672"/>
    <cfRule type="duplicateValues" dxfId="4793" priority="1671"/>
    <cfRule type="duplicateValues" dxfId="4792" priority="1673"/>
    <cfRule type="duplicateValues" dxfId="4791" priority="1675"/>
    <cfRule type="duplicateValues" dxfId="4790" priority="1677"/>
    <cfRule type="duplicateValues" dxfId="4789" priority="1678"/>
    <cfRule type="duplicateValues" dxfId="4788" priority="1674"/>
    <cfRule type="duplicateValues" dxfId="4787" priority="1676"/>
  </conditionalFormatting>
  <conditionalFormatting sqref="C110 C113:C114">
    <cfRule type="duplicateValues" dxfId="4786" priority="1079"/>
    <cfRule type="duplicateValues" dxfId="4785" priority="1083"/>
    <cfRule type="duplicateValues" dxfId="4784" priority="1084"/>
    <cfRule type="duplicateValues" dxfId="4783" priority="1081"/>
    <cfRule type="duplicateValues" dxfId="4782" priority="1082"/>
    <cfRule type="duplicateValues" dxfId="4781" priority="1078"/>
  </conditionalFormatting>
  <conditionalFormatting sqref="C110">
    <cfRule type="duplicateValues" dxfId="4780" priority="1077"/>
    <cfRule type="duplicateValues" dxfId="4779" priority="1076"/>
    <cfRule type="duplicateValues" dxfId="4778" priority="1080"/>
  </conditionalFormatting>
  <conditionalFormatting sqref="C111">
    <cfRule type="duplicateValues" dxfId="4777" priority="86"/>
  </conditionalFormatting>
  <conditionalFormatting sqref="C112">
    <cfRule type="duplicateValues" dxfId="4776" priority="52"/>
    <cfRule type="duplicateValues" dxfId="4775" priority="51"/>
  </conditionalFormatting>
  <conditionalFormatting sqref="C115">
    <cfRule type="duplicateValues" dxfId="4774" priority="2353"/>
    <cfRule type="duplicateValues" dxfId="4773" priority="2355"/>
    <cfRule type="duplicateValues" dxfId="4772" priority="2352"/>
    <cfRule type="duplicateValues" dxfId="4771" priority="2356"/>
    <cfRule type="duplicateValues" dxfId="4770" priority="2350"/>
    <cfRule type="duplicateValues" dxfId="4769" priority="2354"/>
    <cfRule type="duplicateValues" dxfId="4768" priority="2351"/>
  </conditionalFormatting>
  <conditionalFormatting sqref="C117">
    <cfRule type="duplicateValues" dxfId="4767" priority="2439"/>
    <cfRule type="duplicateValues" dxfId="4766" priority="2440"/>
  </conditionalFormatting>
  <conditionalFormatting sqref="C118">
    <cfRule type="duplicateValues" dxfId="4765" priority="4706"/>
  </conditionalFormatting>
  <conditionalFormatting sqref="C119">
    <cfRule type="duplicateValues" dxfId="4764" priority="1087"/>
    <cfRule type="duplicateValues" dxfId="4763" priority="1088"/>
    <cfRule type="duplicateValues" dxfId="4762" priority="1086"/>
    <cfRule type="duplicateValues" dxfId="4761" priority="1085"/>
    <cfRule type="duplicateValues" dxfId="4760" priority="1089"/>
  </conditionalFormatting>
  <conditionalFormatting sqref="C120">
    <cfRule type="duplicateValues" dxfId="4759" priority="722"/>
  </conditionalFormatting>
  <conditionalFormatting sqref="C121">
    <cfRule type="duplicateValues" dxfId="4758" priority="5233"/>
    <cfRule type="duplicateValues" dxfId="4757" priority="5237"/>
    <cfRule type="duplicateValues" dxfId="4756" priority="5236"/>
    <cfRule type="duplicateValues" dxfId="4755" priority="5235"/>
    <cfRule type="duplicateValues" dxfId="4754" priority="5234"/>
    <cfRule type="duplicateValues" dxfId="4753" priority="5232"/>
    <cfRule type="duplicateValues" dxfId="4752" priority="5231"/>
    <cfRule type="duplicateValues" dxfId="4751" priority="5230"/>
    <cfRule type="duplicateValues" dxfId="4750" priority="5229"/>
    <cfRule type="duplicateValues" dxfId="4749" priority="5228"/>
    <cfRule type="duplicateValues" dxfId="4748" priority="5227"/>
    <cfRule type="duplicateValues" dxfId="4747" priority="5226"/>
    <cfRule type="duplicateValues" dxfId="4746" priority="5225"/>
  </conditionalFormatting>
  <conditionalFormatting sqref="C122:C123">
    <cfRule type="duplicateValues" dxfId="4745" priority="85"/>
  </conditionalFormatting>
  <conditionalFormatting sqref="C124">
    <cfRule type="duplicateValues" dxfId="4744" priority="2476"/>
    <cfRule type="duplicateValues" dxfId="4743" priority="2475"/>
  </conditionalFormatting>
  <conditionalFormatting sqref="C127">
    <cfRule type="duplicateValues" dxfId="4742" priority="4284"/>
    <cfRule type="duplicateValues" dxfId="4741" priority="4283"/>
    <cfRule type="duplicateValues" dxfId="4740" priority="4282"/>
  </conditionalFormatting>
  <conditionalFormatting sqref="C129">
    <cfRule type="duplicateValues" dxfId="4739" priority="628"/>
  </conditionalFormatting>
  <conditionalFormatting sqref="C133:C134">
    <cfRule type="duplicateValues" dxfId="4738" priority="1068"/>
    <cfRule type="duplicateValues" dxfId="4737" priority="1073"/>
    <cfRule type="duplicateValues" dxfId="4736" priority="1059"/>
    <cfRule type="duplicateValues" dxfId="4735" priority="1060"/>
    <cfRule type="duplicateValues" dxfId="4734" priority="1061"/>
    <cfRule type="duplicateValues" dxfId="4733" priority="1062"/>
    <cfRule type="duplicateValues" dxfId="4732" priority="1063"/>
    <cfRule type="duplicateValues" dxfId="4731" priority="1064"/>
    <cfRule type="duplicateValues" dxfId="4730" priority="1065"/>
    <cfRule type="duplicateValues" dxfId="4729" priority="1066"/>
    <cfRule type="duplicateValues" dxfId="4728" priority="1067"/>
    <cfRule type="duplicateValues" dxfId="4727" priority="1069"/>
    <cfRule type="duplicateValues" dxfId="4726" priority="1070"/>
    <cfRule type="duplicateValues" dxfId="4725" priority="1071"/>
    <cfRule type="duplicateValues" dxfId="4724" priority="1072"/>
    <cfRule type="duplicateValues" dxfId="4723" priority="1074"/>
    <cfRule type="duplicateValues" dxfId="4722" priority="1075"/>
    <cfRule type="duplicateValues" dxfId="4721" priority="1058"/>
  </conditionalFormatting>
  <conditionalFormatting sqref="C135">
    <cfRule type="duplicateValues" dxfId="4720" priority="2268"/>
    <cfRule type="duplicateValues" dxfId="4719" priority="2269"/>
  </conditionalFormatting>
  <conditionalFormatting sqref="C136">
    <cfRule type="duplicateValues" dxfId="4718" priority="5153"/>
    <cfRule type="duplicateValues" dxfId="4717" priority="5149"/>
    <cfRule type="duplicateValues" dxfId="4716" priority="5150"/>
    <cfRule type="duplicateValues" dxfId="4715" priority="5156"/>
    <cfRule type="duplicateValues" dxfId="4714" priority="5155"/>
    <cfRule type="duplicateValues" dxfId="4713" priority="5154"/>
    <cfRule type="duplicateValues" dxfId="4712" priority="5151"/>
    <cfRule type="duplicateValues" dxfId="4711" priority="5152"/>
    <cfRule type="duplicateValues" dxfId="4710" priority="5147"/>
    <cfRule type="duplicateValues" dxfId="4709" priority="5157"/>
    <cfRule type="duplicateValues" dxfId="4708" priority="5148"/>
    <cfRule type="duplicateValues" dxfId="4707" priority="5158"/>
    <cfRule type="duplicateValues" dxfId="4706" priority="5159"/>
  </conditionalFormatting>
  <conditionalFormatting sqref="C137">
    <cfRule type="duplicateValues" dxfId="4705" priority="915"/>
    <cfRule type="duplicateValues" dxfId="4704" priority="914"/>
  </conditionalFormatting>
  <conditionalFormatting sqref="C139">
    <cfRule type="duplicateValues" dxfId="4703" priority="923"/>
    <cfRule type="duplicateValues" dxfId="4702" priority="922"/>
  </conditionalFormatting>
  <conditionalFormatting sqref="C140">
    <cfRule type="duplicateValues" dxfId="4701" priority="12"/>
  </conditionalFormatting>
  <conditionalFormatting sqref="C141:C142">
    <cfRule type="duplicateValues" dxfId="4700" priority="689"/>
    <cfRule type="duplicateValues" dxfId="4699" priority="688"/>
    <cfRule type="duplicateValues" dxfId="4698" priority="690"/>
  </conditionalFormatting>
  <conditionalFormatting sqref="C143">
    <cfRule type="duplicateValues" dxfId="4697" priority="5275"/>
    <cfRule type="duplicateValues" dxfId="4696" priority="5274"/>
    <cfRule type="duplicateValues" dxfId="4695" priority="5273"/>
    <cfRule type="duplicateValues" dxfId="4694" priority="5272"/>
    <cfRule type="duplicateValues" dxfId="4693" priority="5267"/>
    <cfRule type="duplicateValues" dxfId="4692" priority="5271"/>
    <cfRule type="duplicateValues" dxfId="4691" priority="5270"/>
    <cfRule type="duplicateValues" dxfId="4690" priority="5269"/>
    <cfRule type="duplicateValues" dxfId="4689" priority="5268"/>
    <cfRule type="duplicateValues" dxfId="4688" priority="5266"/>
    <cfRule type="duplicateValues" dxfId="4687" priority="5265"/>
    <cfRule type="duplicateValues" dxfId="4686" priority="5264"/>
  </conditionalFormatting>
  <conditionalFormatting sqref="C145">
    <cfRule type="duplicateValues" dxfId="4685" priority="1775"/>
    <cfRule type="duplicateValues" dxfId="4684" priority="1776"/>
    <cfRule type="duplicateValues" dxfId="4683" priority="1777"/>
    <cfRule type="duplicateValues" dxfId="4682" priority="1778"/>
  </conditionalFormatting>
  <conditionalFormatting sqref="C146">
    <cfRule type="duplicateValues" dxfId="4681" priority="443"/>
    <cfRule type="duplicateValues" dxfId="4680" priority="442"/>
    <cfRule type="duplicateValues" dxfId="4679" priority="441"/>
    <cfRule type="duplicateValues" dxfId="4678" priority="440"/>
    <cfRule type="duplicateValues" dxfId="4677" priority="465"/>
    <cfRule type="duplicateValues" dxfId="4676" priority="439"/>
    <cfRule type="duplicateValues" dxfId="4675" priority="438"/>
    <cfRule type="duplicateValues" dxfId="4674" priority="464"/>
    <cfRule type="duplicateValues" dxfId="4673" priority="463"/>
    <cfRule type="duplicateValues" dxfId="4672" priority="461"/>
    <cfRule type="duplicateValues" dxfId="4671" priority="452"/>
    <cfRule type="duplicateValues" dxfId="4670" priority="451"/>
    <cfRule type="duplicateValues" dxfId="4669" priority="450"/>
    <cfRule type="duplicateValues" dxfId="4668" priority="449"/>
    <cfRule type="duplicateValues" dxfId="4667" priority="462"/>
    <cfRule type="duplicateValues" dxfId="4666" priority="448"/>
    <cfRule type="duplicateValues" dxfId="4665" priority="453"/>
    <cfRule type="duplicateValues" dxfId="4664" priority="446"/>
    <cfRule type="duplicateValues" dxfId="4663" priority="445"/>
    <cfRule type="duplicateValues" dxfId="4662" priority="460"/>
    <cfRule type="duplicateValues" dxfId="4661" priority="444"/>
    <cfRule type="duplicateValues" dxfId="4660" priority="466"/>
    <cfRule type="duplicateValues" dxfId="4659" priority="459"/>
    <cfRule type="duplicateValues" dxfId="4658" priority="458"/>
    <cfRule type="duplicateValues" dxfId="4657" priority="457"/>
    <cfRule type="duplicateValues" dxfId="4656" priority="456"/>
    <cfRule type="duplicateValues" dxfId="4655" priority="455"/>
    <cfRule type="duplicateValues" dxfId="4654" priority="454"/>
    <cfRule type="duplicateValues" dxfId="4653" priority="447"/>
  </conditionalFormatting>
  <conditionalFormatting sqref="C147">
    <cfRule type="duplicateValues" dxfId="4652" priority="1726"/>
    <cfRule type="duplicateValues" dxfId="4651" priority="1727"/>
  </conditionalFormatting>
  <conditionalFormatting sqref="C148">
    <cfRule type="duplicateValues" dxfId="4650" priority="1731"/>
  </conditionalFormatting>
  <conditionalFormatting sqref="C149">
    <cfRule type="duplicateValues" dxfId="4649" priority="1764"/>
  </conditionalFormatting>
  <conditionalFormatting sqref="C150 C164 C175:C176">
    <cfRule type="duplicateValues" dxfId="4648" priority="19008"/>
  </conditionalFormatting>
  <conditionalFormatting sqref="C150">
    <cfRule type="duplicateValues" dxfId="4647" priority="1123"/>
  </conditionalFormatting>
  <conditionalFormatting sqref="C151 C160">
    <cfRule type="duplicateValues" dxfId="4646" priority="601"/>
    <cfRule type="duplicateValues" dxfId="4645" priority="600"/>
    <cfRule type="duplicateValues" dxfId="4644" priority="624"/>
  </conditionalFormatting>
  <conditionalFormatting sqref="C151">
    <cfRule type="duplicateValues" dxfId="4643" priority="622"/>
    <cfRule type="duplicateValues" dxfId="4642" priority="621"/>
    <cfRule type="duplicateValues" dxfId="4641" priority="598"/>
    <cfRule type="duplicateValues" dxfId="4640" priority="597"/>
    <cfRule type="duplicateValues" dxfId="4639" priority="620"/>
    <cfRule type="duplicateValues" dxfId="4638" priority="619"/>
    <cfRule type="duplicateValues" dxfId="4637" priority="618"/>
    <cfRule type="duplicateValues" dxfId="4636" priority="617"/>
    <cfRule type="duplicateValues" dxfId="4635" priority="616"/>
    <cfRule type="duplicateValues" dxfId="4634" priority="615"/>
    <cfRule type="duplicateValues" dxfId="4633" priority="614"/>
    <cfRule type="duplicateValues" dxfId="4632" priority="613"/>
    <cfRule type="duplicateValues" dxfId="4631" priority="612"/>
    <cfRule type="duplicateValues" dxfId="4630" priority="596"/>
    <cfRule type="duplicateValues" dxfId="4629" priority="611"/>
    <cfRule type="duplicateValues" dxfId="4628" priority="610"/>
    <cfRule type="duplicateValues" dxfId="4627" priority="609"/>
    <cfRule type="duplicateValues" dxfId="4626" priority="608"/>
    <cfRule type="duplicateValues" dxfId="4625" priority="607"/>
    <cfRule type="duplicateValues" dxfId="4624" priority="606"/>
    <cfRule type="duplicateValues" dxfId="4623" priority="605"/>
    <cfRule type="duplicateValues" dxfId="4622" priority="604"/>
    <cfRule type="duplicateValues" dxfId="4621" priority="603"/>
    <cfRule type="duplicateValues" dxfId="4620" priority="602"/>
    <cfRule type="duplicateValues" dxfId="4619" priority="599"/>
    <cfRule type="duplicateValues" dxfId="4618" priority="623"/>
  </conditionalFormatting>
  <conditionalFormatting sqref="C152:C154">
    <cfRule type="duplicateValues" dxfId="4617" priority="84"/>
  </conditionalFormatting>
  <conditionalFormatting sqref="C155">
    <cfRule type="duplicateValues" dxfId="4616" priority="374"/>
  </conditionalFormatting>
  <conditionalFormatting sqref="C156">
    <cfRule type="duplicateValues" dxfId="4615" priority="281"/>
    <cfRule type="duplicateValues" dxfId="4614" priority="282"/>
    <cfRule type="duplicateValues" dxfId="4613" priority="283"/>
  </conditionalFormatting>
  <conditionalFormatting sqref="C157:C158">
    <cfRule type="duplicateValues" dxfId="4612" priority="272"/>
    <cfRule type="duplicateValues" dxfId="4611" priority="271"/>
    <cfRule type="duplicateValues" dxfId="4610" priority="270"/>
  </conditionalFormatting>
  <conditionalFormatting sqref="C159">
    <cfRule type="duplicateValues" dxfId="4609" priority="267"/>
    <cfRule type="duplicateValues" dxfId="4608" priority="269"/>
    <cfRule type="duplicateValues" dxfId="4607" priority="268"/>
  </conditionalFormatting>
  <conditionalFormatting sqref="C161">
    <cfRule type="duplicateValues" dxfId="4606" priority="326"/>
  </conditionalFormatting>
  <conditionalFormatting sqref="C162:C163">
    <cfRule type="duplicateValues" dxfId="4605" priority="154"/>
    <cfRule type="duplicateValues" dxfId="4604" priority="155"/>
    <cfRule type="duplicateValues" dxfId="4603" priority="157"/>
    <cfRule type="duplicateValues" dxfId="4602" priority="156"/>
  </conditionalFormatting>
  <conditionalFormatting sqref="C165:C168">
    <cfRule type="duplicateValues" dxfId="4601" priority="98"/>
  </conditionalFormatting>
  <conditionalFormatting sqref="C169">
    <cfRule type="duplicateValues" dxfId="4600" priority="103"/>
    <cfRule type="duplicateValues" dxfId="4599" priority="104"/>
    <cfRule type="duplicateValues" dxfId="4598" priority="105"/>
    <cfRule type="duplicateValues" dxfId="4597" priority="99"/>
    <cfRule type="duplicateValues" dxfId="4596" priority="102"/>
    <cfRule type="duplicateValues" dxfId="4595" priority="101"/>
    <cfRule type="duplicateValues" dxfId="4594" priority="100"/>
  </conditionalFormatting>
  <conditionalFormatting sqref="C170:C171">
    <cfRule type="duplicateValues" dxfId="4593" priority="97"/>
  </conditionalFormatting>
  <conditionalFormatting sqref="C172:C173">
    <cfRule type="duplicateValues" dxfId="4592" priority="96"/>
  </conditionalFormatting>
  <conditionalFormatting sqref="C174">
    <cfRule type="duplicateValues" dxfId="4591" priority="95"/>
  </conditionalFormatting>
  <conditionalFormatting sqref="C175:C176">
    <cfRule type="duplicateValues" dxfId="4590" priority="1113"/>
  </conditionalFormatting>
  <conditionalFormatting sqref="C177">
    <cfRule type="duplicateValues" dxfId="4589" priority="1682"/>
    <cfRule type="duplicateValues" dxfId="4588" priority="1681"/>
    <cfRule type="duplicateValues" dxfId="4587" priority="1679"/>
    <cfRule type="duplicateValues" dxfId="4586" priority="1680"/>
  </conditionalFormatting>
  <conditionalFormatting sqref="C178:C179">
    <cfRule type="duplicateValues" dxfId="4585" priority="2582"/>
    <cfRule type="duplicateValues" dxfId="4584" priority="2581"/>
  </conditionalFormatting>
  <conditionalFormatting sqref="C181:C182">
    <cfRule type="duplicateValues" dxfId="4583" priority="55"/>
    <cfRule type="duplicateValues" dxfId="4582" priority="56"/>
  </conditionalFormatting>
  <conditionalFormatting sqref="C183:C184">
    <cfRule type="duplicateValues" dxfId="4581" priority="53"/>
    <cfRule type="duplicateValues" dxfId="4580" priority="54"/>
  </conditionalFormatting>
  <conditionalFormatting sqref="C185">
    <cfRule type="duplicateValues" dxfId="4579" priority="910"/>
    <cfRule type="duplicateValues" dxfId="4578" priority="911"/>
  </conditionalFormatting>
  <conditionalFormatting sqref="C186:C187">
    <cfRule type="duplicateValues" dxfId="4577" priority="4269"/>
    <cfRule type="duplicateValues" dxfId="4576" priority="4270"/>
    <cfRule type="duplicateValues" dxfId="4575" priority="4271"/>
    <cfRule type="duplicateValues" dxfId="4574" priority="4273"/>
    <cfRule type="duplicateValues" dxfId="4573" priority="4274"/>
    <cfRule type="duplicateValues" dxfId="4572" priority="4275"/>
    <cfRule type="duplicateValues" dxfId="4571" priority="4279"/>
    <cfRule type="duplicateValues" dxfId="4570" priority="4272"/>
    <cfRule type="duplicateValues" dxfId="4569" priority="4276"/>
    <cfRule type="duplicateValues" dxfId="4568" priority="4277"/>
    <cfRule type="duplicateValues" dxfId="4567" priority="4280"/>
    <cfRule type="duplicateValues" dxfId="4566" priority="4281"/>
    <cfRule type="duplicateValues" dxfId="4565" priority="4278"/>
    <cfRule type="duplicateValues" dxfId="4564" priority="4268"/>
  </conditionalFormatting>
  <conditionalFormatting sqref="C188">
    <cfRule type="duplicateValues" dxfId="4563" priority="1569"/>
  </conditionalFormatting>
  <conditionalFormatting sqref="C189">
    <cfRule type="duplicateValues" dxfId="4562" priority="1512"/>
  </conditionalFormatting>
  <conditionalFormatting sqref="C190">
    <cfRule type="duplicateValues" dxfId="4561" priority="955"/>
    <cfRule type="duplicateValues" dxfId="4560" priority="956"/>
  </conditionalFormatting>
  <conditionalFormatting sqref="C192:C193">
    <cfRule type="duplicateValues" dxfId="4559" priority="316"/>
    <cfRule type="duplicateValues" dxfId="4558" priority="317"/>
    <cfRule type="duplicateValues" dxfId="4557" priority="313"/>
    <cfRule type="duplicateValues" dxfId="4556" priority="315"/>
    <cfRule type="duplicateValues" dxfId="4555" priority="314"/>
  </conditionalFormatting>
  <conditionalFormatting sqref="C194:C195">
    <cfRule type="duplicateValues" dxfId="4554" priority="764"/>
    <cfRule type="duplicateValues" dxfId="4553" priority="762"/>
    <cfRule type="duplicateValues" dxfId="4552" priority="766"/>
    <cfRule type="duplicateValues" dxfId="4551" priority="767"/>
    <cfRule type="duplicateValues" dxfId="4550" priority="768"/>
    <cfRule type="duplicateValues" dxfId="4549" priority="769"/>
    <cfRule type="duplicateValues" dxfId="4548" priority="770"/>
    <cfRule type="duplicateValues" dxfId="4547" priority="771"/>
    <cfRule type="duplicateValues" dxfId="4546" priority="772"/>
    <cfRule type="duplicateValues" dxfId="4545" priority="773"/>
    <cfRule type="duplicateValues" dxfId="4544" priority="774"/>
    <cfRule type="duplicateValues" dxfId="4543" priority="775"/>
    <cfRule type="duplicateValues" dxfId="4542" priority="776"/>
    <cfRule type="duplicateValues" dxfId="4541" priority="756"/>
    <cfRule type="duplicateValues" dxfId="4540" priority="757"/>
    <cfRule type="duplicateValues" dxfId="4539" priority="758"/>
    <cfRule type="duplicateValues" dxfId="4538" priority="763"/>
    <cfRule type="duplicateValues" dxfId="4537" priority="759"/>
    <cfRule type="duplicateValues" dxfId="4536" priority="761"/>
    <cfRule type="duplicateValues" dxfId="4535" priority="765"/>
    <cfRule type="duplicateValues" dxfId="4534" priority="760"/>
    <cfRule type="duplicateValues" dxfId="4533" priority="784"/>
    <cfRule type="duplicateValues" dxfId="4532" priority="783"/>
    <cfRule type="duplicateValues" dxfId="4531" priority="782"/>
    <cfRule type="duplicateValues" dxfId="4530" priority="781"/>
    <cfRule type="duplicateValues" dxfId="4529" priority="780"/>
    <cfRule type="duplicateValues" dxfId="4528" priority="779"/>
    <cfRule type="duplicateValues" dxfId="4527" priority="778"/>
    <cfRule type="duplicateValues" dxfId="4526" priority="777"/>
  </conditionalFormatting>
  <conditionalFormatting sqref="C196:C202">
    <cfRule type="duplicateValues" dxfId="4525" priority="1589"/>
  </conditionalFormatting>
  <conditionalFormatting sqref="C203 C210">
    <cfRule type="duplicateValues" dxfId="4524" priority="1591"/>
  </conditionalFormatting>
  <conditionalFormatting sqref="C203">
    <cfRule type="duplicateValues" dxfId="4523" priority="1595"/>
    <cfRule type="duplicateValues" dxfId="4522" priority="1594"/>
    <cfRule type="duplicateValues" dxfId="4521" priority="1590"/>
    <cfRule type="duplicateValues" dxfId="4520" priority="1593"/>
    <cfRule type="duplicateValues" dxfId="4519" priority="1592"/>
  </conditionalFormatting>
  <conditionalFormatting sqref="C204:C209">
    <cfRule type="duplicateValues" dxfId="4518" priority="1588"/>
  </conditionalFormatting>
  <conditionalFormatting sqref="C210">
    <cfRule type="duplicateValues" dxfId="4517" priority="1616"/>
    <cfRule type="duplicateValues" dxfId="4516" priority="1614"/>
    <cfRule type="duplicateValues" dxfId="4515" priority="1613"/>
    <cfRule type="duplicateValues" dxfId="4514" priority="1612"/>
    <cfRule type="duplicateValues" dxfId="4513" priority="1611"/>
    <cfRule type="duplicateValues" dxfId="4512" priority="1610"/>
    <cfRule type="duplicateValues" dxfId="4511" priority="1609"/>
    <cfRule type="duplicateValues" dxfId="4510" priority="1608"/>
    <cfRule type="duplicateValues" dxfId="4509" priority="1607"/>
    <cfRule type="duplicateValues" dxfId="4508" priority="1606"/>
    <cfRule type="duplicateValues" dxfId="4507" priority="1605"/>
    <cfRule type="duplicateValues" dxfId="4506" priority="1604"/>
    <cfRule type="duplicateValues" dxfId="4505" priority="1603"/>
    <cfRule type="duplicateValues" dxfId="4504" priority="1602"/>
    <cfRule type="duplicateValues" dxfId="4503" priority="1601"/>
    <cfRule type="duplicateValues" dxfId="4502" priority="1600"/>
    <cfRule type="duplicateValues" dxfId="4501" priority="1599"/>
    <cfRule type="duplicateValues" dxfId="4500" priority="1598"/>
    <cfRule type="duplicateValues" dxfId="4499" priority="1597"/>
    <cfRule type="duplicateValues" dxfId="4498" priority="1596"/>
    <cfRule type="duplicateValues" dxfId="4497" priority="1617"/>
    <cfRule type="duplicateValues" dxfId="4496" priority="1615"/>
    <cfRule type="duplicateValues" dxfId="4495" priority="1622"/>
    <cfRule type="duplicateValues" dxfId="4494" priority="1621"/>
    <cfRule type="duplicateValues" dxfId="4493" priority="1620"/>
    <cfRule type="duplicateValues" dxfId="4492" priority="1619"/>
    <cfRule type="duplicateValues" dxfId="4491" priority="1618"/>
  </conditionalFormatting>
  <conditionalFormatting sqref="C211:C220">
    <cfRule type="duplicateValues" dxfId="4490" priority="245"/>
    <cfRule type="duplicateValues" dxfId="4489" priority="247"/>
    <cfRule type="duplicateValues" dxfId="4488" priority="246"/>
  </conditionalFormatting>
  <conditionalFormatting sqref="C221">
    <cfRule type="duplicateValues" dxfId="4487" priority="250"/>
    <cfRule type="duplicateValues" dxfId="4486" priority="249"/>
    <cfRule type="duplicateValues" dxfId="4485" priority="248"/>
    <cfRule type="duplicateValues" dxfId="4484" priority="252"/>
    <cfRule type="duplicateValues" dxfId="4483" priority="251"/>
  </conditionalFormatting>
  <conditionalFormatting sqref="C222">
    <cfRule type="duplicateValues" dxfId="4482" priority="243"/>
    <cfRule type="duplicateValues" dxfId="4481" priority="242"/>
    <cfRule type="duplicateValues" dxfId="4480" priority="244"/>
  </conditionalFormatting>
  <conditionalFormatting sqref="C223">
    <cfRule type="duplicateValues" dxfId="4479" priority="16"/>
  </conditionalFormatting>
  <conditionalFormatting sqref="C224">
    <cfRule type="duplicateValues" dxfId="4478" priority="15"/>
  </conditionalFormatting>
  <conditionalFormatting sqref="C225:C227">
    <cfRule type="duplicateValues" dxfId="4477" priority="14"/>
  </conditionalFormatting>
  <conditionalFormatting sqref="C228">
    <cfRule type="duplicateValues" dxfId="4476" priority="17"/>
    <cfRule type="duplicateValues" dxfId="4475" priority="18"/>
    <cfRule type="duplicateValues" dxfId="4474" priority="19"/>
    <cfRule type="duplicateValues" dxfId="4473" priority="20"/>
    <cfRule type="duplicateValues" dxfId="4472" priority="21"/>
    <cfRule type="duplicateValues" dxfId="4471" priority="22"/>
    <cfRule type="duplicateValues" dxfId="4470" priority="31"/>
    <cfRule type="duplicateValues" dxfId="4469" priority="24"/>
    <cfRule type="duplicateValues" dxfId="4468" priority="25"/>
    <cfRule type="duplicateValues" dxfId="4467" priority="26"/>
    <cfRule type="duplicateValues" dxfId="4466" priority="27"/>
    <cfRule type="duplicateValues" dxfId="4465" priority="28"/>
    <cfRule type="duplicateValues" dxfId="4464" priority="29"/>
    <cfRule type="duplicateValues" dxfId="4463" priority="30"/>
    <cfRule type="duplicateValues" dxfId="4462" priority="33"/>
    <cfRule type="duplicateValues" dxfId="4461" priority="32"/>
    <cfRule type="duplicateValues" dxfId="4460" priority="23"/>
    <cfRule type="duplicateValues" dxfId="4459" priority="48"/>
    <cfRule type="duplicateValues" dxfId="4458" priority="44"/>
    <cfRule type="duplicateValues" dxfId="4457" priority="39"/>
    <cfRule type="duplicateValues" dxfId="4456" priority="40"/>
    <cfRule type="duplicateValues" dxfId="4455" priority="41"/>
    <cfRule type="duplicateValues" dxfId="4454" priority="42"/>
    <cfRule type="duplicateValues" dxfId="4453" priority="43"/>
    <cfRule type="duplicateValues" dxfId="4452" priority="45"/>
    <cfRule type="duplicateValues" dxfId="4451" priority="47"/>
    <cfRule type="duplicateValues" dxfId="4450" priority="46"/>
    <cfRule type="duplicateValues" dxfId="4449" priority="38"/>
    <cfRule type="duplicateValues" dxfId="4448" priority="37"/>
    <cfRule type="duplicateValues" dxfId="4447" priority="36"/>
    <cfRule type="duplicateValues" dxfId="4446" priority="35"/>
    <cfRule type="duplicateValues" dxfId="4445" priority="34"/>
  </conditionalFormatting>
  <conditionalFormatting sqref="C229:C232">
    <cfRule type="duplicateValues" dxfId="4444" priority="13"/>
  </conditionalFormatting>
  <conditionalFormatting sqref="C234">
    <cfRule type="duplicateValues" dxfId="4443" priority="2163"/>
    <cfRule type="duplicateValues" dxfId="4442" priority="2161"/>
    <cfRule type="duplicateValues" dxfId="4441" priority="2162"/>
  </conditionalFormatting>
  <conditionalFormatting sqref="C237:C239">
    <cfRule type="duplicateValues" dxfId="4440" priority="2757"/>
    <cfRule type="duplicateValues" dxfId="4439" priority="2761"/>
    <cfRule type="duplicateValues" dxfId="4438" priority="2759"/>
    <cfRule type="duplicateValues" dxfId="4437" priority="2762"/>
    <cfRule type="duplicateValues" dxfId="4436" priority="2760"/>
    <cfRule type="duplicateValues" dxfId="4435" priority="2753"/>
    <cfRule type="duplicateValues" dxfId="4434" priority="2758"/>
    <cfRule type="duplicateValues" dxfId="4433" priority="2754"/>
    <cfRule type="duplicateValues" dxfId="4432" priority="2755"/>
    <cfRule type="duplicateValues" dxfId="4431" priority="2756"/>
  </conditionalFormatting>
  <conditionalFormatting sqref="C241">
    <cfRule type="duplicateValues" dxfId="4430" priority="6119"/>
    <cfRule type="duplicateValues" dxfId="4429" priority="6120"/>
    <cfRule type="duplicateValues" dxfId="4428" priority="6121"/>
    <cfRule type="duplicateValues" dxfId="4427" priority="6122"/>
  </conditionalFormatting>
  <conditionalFormatting sqref="C245">
    <cfRule type="duplicateValues" dxfId="4426" priority="6084"/>
    <cfRule type="duplicateValues" dxfId="4425" priority="6085"/>
    <cfRule type="duplicateValues" dxfId="4424" priority="6086"/>
    <cfRule type="duplicateValues" dxfId="4423" priority="6087"/>
  </conditionalFormatting>
  <conditionalFormatting sqref="C247:C250">
    <cfRule type="duplicateValues" dxfId="4422" priority="77"/>
  </conditionalFormatting>
  <conditionalFormatting sqref="C251:C253">
    <cfRule type="duplicateValues" dxfId="4421" priority="76"/>
  </conditionalFormatting>
  <conditionalFormatting sqref="C254:C255">
    <cfRule type="duplicateValues" dxfId="4420" priority="83"/>
    <cfRule type="duplicateValues" dxfId="4419" priority="78"/>
    <cfRule type="duplicateValues" dxfId="4418" priority="82"/>
    <cfRule type="duplicateValues" dxfId="4417" priority="81"/>
    <cfRule type="duplicateValues" dxfId="4416" priority="80"/>
    <cfRule type="duplicateValues" dxfId="4415" priority="79"/>
  </conditionalFormatting>
  <conditionalFormatting sqref="C256:C257">
    <cfRule type="duplicateValues" dxfId="4414" priority="939"/>
  </conditionalFormatting>
  <conditionalFormatting sqref="C258">
    <cfRule type="duplicateValues" dxfId="4413" priority="2259"/>
    <cfRule type="duplicateValues" dxfId="4412" priority="2258"/>
  </conditionalFormatting>
  <conditionalFormatting sqref="C259">
    <cfRule type="duplicateValues" dxfId="4411" priority="17031"/>
  </conditionalFormatting>
  <conditionalFormatting sqref="C260">
    <cfRule type="duplicateValues" dxfId="4410" priority="6280"/>
    <cfRule type="duplicateValues" dxfId="4409" priority="6277"/>
    <cfRule type="duplicateValues" dxfId="4408" priority="6278"/>
    <cfRule type="duplicateValues" dxfId="4407" priority="6279"/>
  </conditionalFormatting>
  <conditionalFormatting sqref="C261:C263">
    <cfRule type="duplicateValues" dxfId="4406" priority="234"/>
    <cfRule type="duplicateValues" dxfId="4405" priority="233"/>
  </conditionalFormatting>
  <conditionalFormatting sqref="C264">
    <cfRule type="duplicateValues" dxfId="4404" priority="5075"/>
    <cfRule type="duplicateValues" dxfId="4403" priority="5081"/>
    <cfRule type="duplicateValues" dxfId="4402" priority="5080"/>
    <cfRule type="duplicateValues" dxfId="4401" priority="5079"/>
    <cfRule type="duplicateValues" dxfId="4400" priority="5078"/>
    <cfRule type="duplicateValues" dxfId="4399" priority="5077"/>
    <cfRule type="duplicateValues" dxfId="4398" priority="5076"/>
    <cfRule type="duplicateValues" dxfId="4397" priority="5074"/>
    <cfRule type="duplicateValues" dxfId="4396" priority="5073"/>
    <cfRule type="duplicateValues" dxfId="4395" priority="5072"/>
    <cfRule type="duplicateValues" dxfId="4394" priority="5071"/>
    <cfRule type="duplicateValues" dxfId="4393" priority="5070"/>
    <cfRule type="duplicateValues" dxfId="4392" priority="5069"/>
  </conditionalFormatting>
  <conditionalFormatting sqref="C265:C269">
    <cfRule type="duplicateValues" dxfId="4391" priority="289"/>
    <cfRule type="duplicateValues" dxfId="4390" priority="293"/>
    <cfRule type="duplicateValues" dxfId="4389" priority="292"/>
    <cfRule type="duplicateValues" dxfId="4388" priority="291"/>
    <cfRule type="duplicateValues" dxfId="4387" priority="290"/>
  </conditionalFormatting>
  <conditionalFormatting sqref="C271">
    <cfRule type="duplicateValues" dxfId="4386" priority="331"/>
  </conditionalFormatting>
  <conditionalFormatting sqref="C272:C273">
    <cfRule type="duplicateValues" dxfId="4385" priority="330"/>
  </conditionalFormatting>
  <conditionalFormatting sqref="C275:C277">
    <cfRule type="duplicateValues" dxfId="4384" priority="1012"/>
    <cfRule type="duplicateValues" dxfId="4383" priority="1014"/>
    <cfRule type="duplicateValues" dxfId="4382" priority="1015"/>
    <cfRule type="duplicateValues" dxfId="4381" priority="1016"/>
    <cfRule type="duplicateValues" dxfId="4380" priority="1017"/>
    <cfRule type="duplicateValues" dxfId="4379" priority="1026"/>
    <cfRule type="duplicateValues" dxfId="4378" priority="1019"/>
    <cfRule type="duplicateValues" dxfId="4377" priority="1020"/>
    <cfRule type="duplicateValues" dxfId="4376" priority="1025"/>
    <cfRule type="duplicateValues" dxfId="4375" priority="1024"/>
    <cfRule type="duplicateValues" dxfId="4374" priority="1009"/>
    <cfRule type="duplicateValues" dxfId="4373" priority="1010"/>
    <cfRule type="duplicateValues" dxfId="4372" priority="1023"/>
    <cfRule type="duplicateValues" dxfId="4371" priority="1027"/>
    <cfRule type="duplicateValues" dxfId="4370" priority="1022"/>
    <cfRule type="duplicateValues" dxfId="4369" priority="1011"/>
    <cfRule type="duplicateValues" dxfId="4368" priority="1018"/>
    <cfRule type="duplicateValues" dxfId="4367" priority="1021"/>
    <cfRule type="duplicateValues" dxfId="4366" priority="1013"/>
  </conditionalFormatting>
  <conditionalFormatting sqref="C278:C279">
    <cfRule type="duplicateValues" dxfId="4365" priority="121"/>
  </conditionalFormatting>
  <conditionalFormatting sqref="C280">
    <cfRule type="duplicateValues" dxfId="4364" priority="120"/>
  </conditionalFormatting>
  <conditionalFormatting sqref="C281">
    <cfRule type="duplicateValues" dxfId="4363" priority="294"/>
    <cfRule type="duplicateValues" dxfId="4362" priority="295"/>
    <cfRule type="duplicateValues" dxfId="4361" priority="298"/>
    <cfRule type="duplicateValues" dxfId="4360" priority="297"/>
    <cfRule type="duplicateValues" dxfId="4359" priority="296"/>
  </conditionalFormatting>
  <conditionalFormatting sqref="C282">
    <cfRule type="duplicateValues" dxfId="4358" priority="726"/>
  </conditionalFormatting>
  <conditionalFormatting sqref="C283">
    <cfRule type="duplicateValues" dxfId="4357" priority="1783"/>
    <cfRule type="duplicateValues" dxfId="4356" priority="1782"/>
    <cfRule type="duplicateValues" dxfId="4355" priority="1780"/>
    <cfRule type="duplicateValues" dxfId="4354" priority="1781"/>
    <cfRule type="duplicateValues" dxfId="4353" priority="1779"/>
  </conditionalFormatting>
  <conditionalFormatting sqref="C284:C285">
    <cfRule type="duplicateValues" dxfId="4352" priority="1669"/>
    <cfRule type="duplicateValues" dxfId="4351" priority="1668"/>
    <cfRule type="duplicateValues" dxfId="4350" priority="1667"/>
    <cfRule type="duplicateValues" dxfId="4349" priority="1666"/>
    <cfRule type="duplicateValues" dxfId="4348" priority="1670"/>
    <cfRule type="duplicateValues" dxfId="4347" priority="1664"/>
    <cfRule type="duplicateValues" dxfId="4346" priority="1663"/>
    <cfRule type="duplicateValues" dxfId="4345" priority="1665"/>
  </conditionalFormatting>
  <conditionalFormatting sqref="C286:C294">
    <cfRule type="duplicateValues" dxfId="4344" priority="164"/>
    <cfRule type="duplicateValues" dxfId="4343" priority="165"/>
    <cfRule type="duplicateValues" dxfId="4342" priority="166"/>
  </conditionalFormatting>
  <conditionalFormatting sqref="C295:C296 C298:C299">
    <cfRule type="duplicateValues" dxfId="4341" priority="1694"/>
    <cfRule type="duplicateValues" dxfId="4340" priority="1693"/>
    <cfRule type="duplicateValues" dxfId="4339" priority="1692"/>
    <cfRule type="duplicateValues" dxfId="4338" priority="1691"/>
  </conditionalFormatting>
  <conditionalFormatting sqref="C297">
    <cfRule type="duplicateValues" dxfId="4337" priority="10"/>
  </conditionalFormatting>
  <conditionalFormatting sqref="C300">
    <cfRule type="duplicateValues" dxfId="4336" priority="2647"/>
  </conditionalFormatting>
  <conditionalFormatting sqref="C301">
    <cfRule type="duplicateValues" dxfId="4335" priority="2646"/>
  </conditionalFormatting>
  <conditionalFormatting sqref="C302">
    <cfRule type="duplicateValues" dxfId="4334" priority="909"/>
  </conditionalFormatting>
  <conditionalFormatting sqref="C303 C191 C270 C274 C242:C244 C246 C233 C240 C235:C236">
    <cfRule type="duplicateValues" dxfId="4333" priority="6529"/>
  </conditionalFormatting>
  <conditionalFormatting sqref="C304">
    <cfRule type="duplicateValues" dxfId="4332" priority="595"/>
    <cfRule type="duplicateValues" dxfId="4331" priority="586"/>
    <cfRule type="duplicateValues" dxfId="4330" priority="585"/>
    <cfRule type="duplicateValues" dxfId="4329" priority="584"/>
    <cfRule type="duplicateValues" dxfId="4328" priority="581"/>
    <cfRule type="duplicateValues" dxfId="4327" priority="582"/>
    <cfRule type="duplicateValues" dxfId="4326" priority="583"/>
    <cfRule type="duplicateValues" dxfId="4325" priority="572"/>
    <cfRule type="duplicateValues" dxfId="4324" priority="569"/>
    <cfRule type="duplicateValues" dxfId="4323" priority="570"/>
    <cfRule type="duplicateValues" dxfId="4322" priority="571"/>
    <cfRule type="duplicateValues" dxfId="4321" priority="573"/>
    <cfRule type="duplicateValues" dxfId="4320" priority="594"/>
    <cfRule type="duplicateValues" dxfId="4319" priority="574"/>
    <cfRule type="duplicateValues" dxfId="4318" priority="575"/>
    <cfRule type="duplicateValues" dxfId="4317" priority="576"/>
    <cfRule type="duplicateValues" dxfId="4316" priority="577"/>
    <cfRule type="duplicateValues" dxfId="4315" priority="578"/>
    <cfRule type="duplicateValues" dxfId="4314" priority="579"/>
    <cfRule type="duplicateValues" dxfId="4313" priority="580"/>
    <cfRule type="duplicateValues" dxfId="4312" priority="592"/>
    <cfRule type="duplicateValues" dxfId="4311" priority="591"/>
    <cfRule type="duplicateValues" dxfId="4310" priority="590"/>
    <cfRule type="duplicateValues" dxfId="4309" priority="589"/>
    <cfRule type="duplicateValues" dxfId="4308" priority="588"/>
    <cfRule type="duplicateValues" dxfId="4307" priority="587"/>
    <cfRule type="duplicateValues" dxfId="4306" priority="567"/>
    <cfRule type="duplicateValues" dxfId="4305" priority="568"/>
    <cfRule type="duplicateValues" dxfId="4304" priority="593"/>
  </conditionalFormatting>
  <conditionalFormatting sqref="C305">
    <cfRule type="duplicateValues" dxfId="4303" priority="206"/>
    <cfRule type="duplicateValues" dxfId="4302" priority="205"/>
    <cfRule type="duplicateValues" dxfId="4301" priority="204"/>
    <cfRule type="duplicateValues" dxfId="4300" priority="232"/>
    <cfRule type="duplicateValues" dxfId="4299" priority="231"/>
    <cfRule type="duplicateValues" dxfId="4298" priority="230"/>
    <cfRule type="duplicateValues" dxfId="4297" priority="229"/>
    <cfRule type="duplicateValues" dxfId="4296" priority="222"/>
    <cfRule type="duplicateValues" dxfId="4295" priority="228"/>
    <cfRule type="duplicateValues" dxfId="4294" priority="227"/>
    <cfRule type="duplicateValues" dxfId="4293" priority="226"/>
    <cfRule type="duplicateValues" dxfId="4292" priority="225"/>
    <cfRule type="duplicateValues" dxfId="4291" priority="224"/>
    <cfRule type="duplicateValues" dxfId="4290" priority="223"/>
    <cfRule type="duplicateValues" dxfId="4289" priority="221"/>
    <cfRule type="duplicateValues" dxfId="4288" priority="220"/>
    <cfRule type="duplicateValues" dxfId="4287" priority="203"/>
    <cfRule type="duplicateValues" dxfId="4286" priority="219"/>
    <cfRule type="duplicateValues" dxfId="4285" priority="218"/>
    <cfRule type="duplicateValues" dxfId="4284" priority="217"/>
    <cfRule type="duplicateValues" dxfId="4283" priority="216"/>
    <cfRule type="duplicateValues" dxfId="4282" priority="215"/>
    <cfRule type="duplicateValues" dxfId="4281" priority="214"/>
    <cfRule type="duplicateValues" dxfId="4280" priority="213"/>
    <cfRule type="duplicateValues" dxfId="4279" priority="212"/>
    <cfRule type="duplicateValues" dxfId="4278" priority="211"/>
    <cfRule type="duplicateValues" dxfId="4277" priority="210"/>
    <cfRule type="duplicateValues" dxfId="4276" priority="209"/>
    <cfRule type="duplicateValues" dxfId="4275" priority="208"/>
    <cfRule type="duplicateValues" dxfId="4274" priority="207"/>
  </conditionalFormatting>
  <conditionalFormatting sqref="C306">
    <cfRule type="duplicateValues" dxfId="4273" priority="484"/>
    <cfRule type="duplicateValues" dxfId="4272" priority="504"/>
    <cfRule type="duplicateValues" dxfId="4271" priority="505"/>
    <cfRule type="duplicateValues" dxfId="4270" priority="506"/>
    <cfRule type="duplicateValues" dxfId="4269" priority="490"/>
    <cfRule type="duplicateValues" dxfId="4268" priority="507"/>
    <cfRule type="duplicateValues" dxfId="4267" priority="480"/>
    <cfRule type="duplicateValues" dxfId="4266" priority="481"/>
    <cfRule type="duplicateValues" dxfId="4265" priority="482"/>
    <cfRule type="duplicateValues" dxfId="4264" priority="483"/>
    <cfRule type="duplicateValues" dxfId="4263" priority="495"/>
    <cfRule type="duplicateValues" dxfId="4262" priority="485"/>
    <cfRule type="duplicateValues" dxfId="4261" priority="486"/>
    <cfRule type="duplicateValues" dxfId="4260" priority="487"/>
    <cfRule type="duplicateValues" dxfId="4259" priority="488"/>
    <cfRule type="duplicateValues" dxfId="4258" priority="489"/>
    <cfRule type="duplicateValues" dxfId="4257" priority="491"/>
    <cfRule type="duplicateValues" dxfId="4256" priority="492"/>
    <cfRule type="duplicateValues" dxfId="4255" priority="493"/>
    <cfRule type="duplicateValues" dxfId="4254" priority="494"/>
    <cfRule type="duplicateValues" dxfId="4253" priority="508"/>
    <cfRule type="duplicateValues" dxfId="4252" priority="496"/>
    <cfRule type="duplicateValues" dxfId="4251" priority="497"/>
    <cfRule type="duplicateValues" dxfId="4250" priority="498"/>
    <cfRule type="duplicateValues" dxfId="4249" priority="499"/>
    <cfRule type="duplicateValues" dxfId="4248" priority="500"/>
    <cfRule type="duplicateValues" dxfId="4247" priority="501"/>
    <cfRule type="duplicateValues" dxfId="4246" priority="502"/>
    <cfRule type="duplicateValues" dxfId="4245" priority="503"/>
  </conditionalFormatting>
  <conditionalFormatting sqref="C307 C311 C316:C317 C313 C332">
    <cfRule type="duplicateValues" dxfId="4244" priority="1485"/>
    <cfRule type="duplicateValues" dxfId="4243" priority="1484"/>
    <cfRule type="duplicateValues" dxfId="4242" priority="1483"/>
  </conditionalFormatting>
  <conditionalFormatting sqref="C307 C316:C317 C311 C313 C332">
    <cfRule type="duplicateValues" dxfId="4241" priority="1482"/>
  </conditionalFormatting>
  <conditionalFormatting sqref="C307">
    <cfRule type="duplicateValues" dxfId="4240" priority="1486"/>
  </conditionalFormatting>
  <conditionalFormatting sqref="C308">
    <cfRule type="duplicateValues" dxfId="4239" priority="402"/>
    <cfRule type="duplicateValues" dxfId="4238" priority="403"/>
    <cfRule type="duplicateValues" dxfId="4237" priority="404"/>
    <cfRule type="duplicateValues" dxfId="4236" priority="405"/>
    <cfRule type="duplicateValues" dxfId="4235" priority="406"/>
    <cfRule type="duplicateValues" dxfId="4234" priority="407"/>
    <cfRule type="duplicateValues" dxfId="4233" priority="408"/>
    <cfRule type="duplicateValues" dxfId="4232" priority="387"/>
    <cfRule type="duplicateValues" dxfId="4231" priority="380"/>
    <cfRule type="duplicateValues" dxfId="4230" priority="381"/>
    <cfRule type="duplicateValues" dxfId="4229" priority="382"/>
    <cfRule type="duplicateValues" dxfId="4228" priority="383"/>
    <cfRule type="duplicateValues" dxfId="4227" priority="384"/>
    <cfRule type="duplicateValues" dxfId="4226" priority="385"/>
    <cfRule type="duplicateValues" dxfId="4225" priority="386"/>
    <cfRule type="duplicateValues" dxfId="4224" priority="388"/>
    <cfRule type="duplicateValues" dxfId="4223" priority="400"/>
    <cfRule type="duplicateValues" dxfId="4222" priority="401"/>
    <cfRule type="duplicateValues" dxfId="4221" priority="389"/>
    <cfRule type="duplicateValues" dxfId="4220" priority="390"/>
    <cfRule type="duplicateValues" dxfId="4219" priority="391"/>
    <cfRule type="duplicateValues" dxfId="4218" priority="392"/>
    <cfRule type="duplicateValues" dxfId="4217" priority="393"/>
    <cfRule type="duplicateValues" dxfId="4216" priority="394"/>
    <cfRule type="duplicateValues" dxfId="4215" priority="395"/>
    <cfRule type="duplicateValues" dxfId="4214" priority="396"/>
    <cfRule type="duplicateValues" dxfId="4213" priority="397"/>
    <cfRule type="duplicateValues" dxfId="4212" priority="398"/>
    <cfRule type="duplicateValues" dxfId="4211" priority="399"/>
  </conditionalFormatting>
  <conditionalFormatting sqref="C309">
    <cfRule type="duplicateValues" dxfId="4210" priority="170"/>
  </conditionalFormatting>
  <conditionalFormatting sqref="C310">
    <cfRule type="duplicateValues" dxfId="4209" priority="169"/>
  </conditionalFormatting>
  <conditionalFormatting sqref="C311">
    <cfRule type="duplicateValues" dxfId="4208" priority="1395"/>
    <cfRule type="duplicateValues" dxfId="4207" priority="1394"/>
    <cfRule type="duplicateValues" dxfId="4206" priority="1393"/>
    <cfRule type="duplicateValues" dxfId="4205" priority="1396"/>
    <cfRule type="duplicateValues" dxfId="4204" priority="1397"/>
    <cfRule type="duplicateValues" dxfId="4203" priority="1398"/>
    <cfRule type="duplicateValues" dxfId="4202" priority="1399"/>
    <cfRule type="duplicateValues" dxfId="4201" priority="1400"/>
    <cfRule type="duplicateValues" dxfId="4200" priority="1401"/>
    <cfRule type="duplicateValues" dxfId="4199" priority="1402"/>
    <cfRule type="duplicateValues" dxfId="4198" priority="1403"/>
    <cfRule type="duplicateValues" dxfId="4197" priority="1404"/>
  </conditionalFormatting>
  <conditionalFormatting sqref="C312">
    <cfRule type="duplicateValues" dxfId="4196" priority="131"/>
    <cfRule type="duplicateValues" dxfId="4195" priority="132"/>
    <cfRule type="duplicateValues" dxfId="4194" priority="133"/>
  </conditionalFormatting>
  <conditionalFormatting sqref="C313">
    <cfRule type="duplicateValues" dxfId="4193" priority="1389"/>
    <cfRule type="duplicateValues" dxfId="4192" priority="1388"/>
    <cfRule type="duplicateValues" dxfId="4191" priority="1390"/>
  </conditionalFormatting>
  <conditionalFormatting sqref="C314">
    <cfRule type="duplicateValues" dxfId="4190" priority="346"/>
    <cfRule type="duplicateValues" dxfId="4189" priority="347"/>
    <cfRule type="duplicateValues" dxfId="4188" priority="349"/>
    <cfRule type="duplicateValues" dxfId="4187" priority="350"/>
    <cfRule type="duplicateValues" dxfId="4186" priority="351"/>
    <cfRule type="duplicateValues" dxfId="4185" priority="352"/>
    <cfRule type="duplicateValues" dxfId="4184" priority="353"/>
    <cfRule type="duplicateValues" dxfId="4183" priority="354"/>
    <cfRule type="duplicateValues" dxfId="4182" priority="355"/>
    <cfRule type="duplicateValues" dxfId="4181" priority="356"/>
    <cfRule type="duplicateValues" dxfId="4180" priority="357"/>
    <cfRule type="duplicateValues" dxfId="4179" priority="358"/>
    <cfRule type="duplicateValues" dxfId="4178" priority="359"/>
    <cfRule type="duplicateValues" dxfId="4177" priority="360"/>
    <cfRule type="duplicateValues" dxfId="4176" priority="361"/>
    <cfRule type="duplicateValues" dxfId="4175" priority="362"/>
    <cfRule type="duplicateValues" dxfId="4174" priority="363"/>
    <cfRule type="duplicateValues" dxfId="4173" priority="364"/>
    <cfRule type="duplicateValues" dxfId="4172" priority="365"/>
    <cfRule type="duplicateValues" dxfId="4171" priority="366"/>
    <cfRule type="duplicateValues" dxfId="4170" priority="367"/>
    <cfRule type="duplicateValues" dxfId="4169" priority="368"/>
    <cfRule type="duplicateValues" dxfId="4168" priority="369"/>
    <cfRule type="duplicateValues" dxfId="4167" priority="370"/>
    <cfRule type="duplicateValues" dxfId="4166" priority="371"/>
    <cfRule type="duplicateValues" dxfId="4165" priority="372"/>
    <cfRule type="duplicateValues" dxfId="4164" priority="373"/>
    <cfRule type="duplicateValues" dxfId="4163" priority="348"/>
    <cfRule type="duplicateValues" dxfId="4162" priority="345"/>
  </conditionalFormatting>
  <conditionalFormatting sqref="C315">
    <cfRule type="duplicateValues" dxfId="4161" priority="136"/>
    <cfRule type="duplicateValues" dxfId="4160" priority="137"/>
  </conditionalFormatting>
  <conditionalFormatting sqref="C316 C307 C332">
    <cfRule type="duplicateValues" dxfId="4159" priority="1474"/>
  </conditionalFormatting>
  <conditionalFormatting sqref="C316 C307">
    <cfRule type="duplicateValues" dxfId="4158" priority="1470"/>
  </conditionalFormatting>
  <conditionalFormatting sqref="C316">
    <cfRule type="duplicateValues" dxfId="4157" priority="1467"/>
    <cfRule type="duplicateValues" dxfId="4156" priority="1458"/>
    <cfRule type="duplicateValues" dxfId="4155" priority="1459"/>
    <cfRule type="duplicateValues" dxfId="4154" priority="1460"/>
    <cfRule type="duplicateValues" dxfId="4153" priority="1461"/>
    <cfRule type="duplicateValues" dxfId="4152" priority="1462"/>
    <cfRule type="duplicateValues" dxfId="4151" priority="1463"/>
    <cfRule type="duplicateValues" dxfId="4150" priority="1464"/>
    <cfRule type="duplicateValues" dxfId="4149" priority="1465"/>
    <cfRule type="duplicateValues" dxfId="4148" priority="1466"/>
    <cfRule type="duplicateValues" dxfId="4147" priority="1468"/>
    <cfRule type="duplicateValues" dxfId="4146" priority="1469"/>
    <cfRule type="duplicateValues" dxfId="4145" priority="1471"/>
    <cfRule type="duplicateValues" dxfId="4144" priority="1472"/>
    <cfRule type="duplicateValues" dxfId="4143" priority="1473"/>
  </conditionalFormatting>
  <conditionalFormatting sqref="C316:C317 C307 C311 C313">
    <cfRule type="duplicateValues" dxfId="4142" priority="1387"/>
  </conditionalFormatting>
  <conditionalFormatting sqref="C316:C317 C307 C311 C332">
    <cfRule type="duplicateValues" dxfId="4141" priority="1481"/>
  </conditionalFormatting>
  <conditionalFormatting sqref="C316:C317 C307 C332">
    <cfRule type="duplicateValues" dxfId="4140" priority="1475"/>
  </conditionalFormatting>
  <conditionalFormatting sqref="C316:C317 C311 C313 C307 C332">
    <cfRule type="duplicateValues" dxfId="4139" priority="1345"/>
  </conditionalFormatting>
  <conditionalFormatting sqref="C316:C317">
    <cfRule type="duplicateValues" dxfId="4138" priority="1476"/>
    <cfRule type="duplicateValues" dxfId="4137" priority="1478"/>
  </conditionalFormatting>
  <conditionalFormatting sqref="C317">
    <cfRule type="duplicateValues" dxfId="4136" priority="1407"/>
    <cfRule type="duplicateValues" dxfId="4135" priority="1408"/>
    <cfRule type="duplicateValues" dxfId="4134" priority="1409"/>
    <cfRule type="duplicateValues" dxfId="4133" priority="1410"/>
    <cfRule type="duplicateValues" dxfId="4132" priority="1411"/>
    <cfRule type="duplicateValues" dxfId="4131" priority="1412"/>
    <cfRule type="duplicateValues" dxfId="4130" priority="1413"/>
    <cfRule type="duplicateValues" dxfId="4129" priority="1414"/>
    <cfRule type="duplicateValues" dxfId="4128" priority="1406"/>
    <cfRule type="duplicateValues" dxfId="4127" priority="1416"/>
    <cfRule type="duplicateValues" dxfId="4126" priority="1417"/>
    <cfRule type="duplicateValues" dxfId="4125" priority="1418"/>
    <cfRule type="duplicateValues" dxfId="4124" priority="1419"/>
    <cfRule type="duplicateValues" dxfId="4123" priority="1420"/>
    <cfRule type="duplicateValues" dxfId="4122" priority="1421"/>
    <cfRule type="duplicateValues" dxfId="4121" priority="1405"/>
    <cfRule type="duplicateValues" dxfId="4120" priority="1415"/>
  </conditionalFormatting>
  <conditionalFormatting sqref="C318">
    <cfRule type="duplicateValues" dxfId="4119" priority="75"/>
  </conditionalFormatting>
  <conditionalFormatting sqref="C319 C322">
    <cfRule type="duplicateValues" dxfId="4118" priority="74"/>
  </conditionalFormatting>
  <conditionalFormatting sqref="C320:C321">
    <cfRule type="duplicateValues" dxfId="4117" priority="50"/>
    <cfRule type="duplicateValues" dxfId="4116" priority="49"/>
  </conditionalFormatting>
  <conditionalFormatting sqref="C323:C326">
    <cfRule type="duplicateValues" dxfId="4115" priority="966"/>
    <cfRule type="duplicateValues" dxfId="4114" priority="982"/>
    <cfRule type="duplicateValues" dxfId="4113" priority="983"/>
    <cfRule type="duplicateValues" dxfId="4112" priority="962"/>
    <cfRule type="duplicateValues" dxfId="4111" priority="961"/>
    <cfRule type="duplicateValues" dxfId="4110" priority="984"/>
    <cfRule type="duplicateValues" dxfId="4109" priority="976"/>
    <cfRule type="duplicateValues" dxfId="4108" priority="975"/>
    <cfRule type="duplicateValues" dxfId="4107" priority="974"/>
    <cfRule type="duplicateValues" dxfId="4106" priority="973"/>
    <cfRule type="duplicateValues" dxfId="4105" priority="972"/>
    <cfRule type="duplicateValues" dxfId="4104" priority="980"/>
    <cfRule type="duplicateValues" dxfId="4103" priority="963"/>
    <cfRule type="duplicateValues" dxfId="4102" priority="964"/>
    <cfRule type="duplicateValues" dxfId="4101" priority="965"/>
    <cfRule type="duplicateValues" dxfId="4100" priority="957"/>
    <cfRule type="duplicateValues" dxfId="4099" priority="958"/>
    <cfRule type="duplicateValues" dxfId="4098" priority="959"/>
    <cfRule type="duplicateValues" dxfId="4097" priority="960"/>
    <cfRule type="duplicateValues" dxfId="4096" priority="981"/>
    <cfRule type="duplicateValues" dxfId="4095" priority="971"/>
    <cfRule type="duplicateValues" dxfId="4094" priority="970"/>
    <cfRule type="duplicateValues" dxfId="4093" priority="969"/>
    <cfRule type="duplicateValues" dxfId="4092" priority="968"/>
    <cfRule type="duplicateValues" dxfId="4091" priority="967"/>
    <cfRule type="duplicateValues" dxfId="4090" priority="977"/>
    <cfRule type="duplicateValues" dxfId="4089" priority="978"/>
    <cfRule type="duplicateValues" dxfId="4088" priority="979"/>
  </conditionalFormatting>
  <conditionalFormatting sqref="C330">
    <cfRule type="duplicateValues" dxfId="4087" priority="2"/>
    <cfRule type="duplicateValues" dxfId="4086" priority="1"/>
  </conditionalFormatting>
  <conditionalFormatting sqref="C332">
    <cfRule type="duplicateValues" dxfId="4085" priority="1444"/>
    <cfRule type="duplicateValues" dxfId="4084" priority="1446"/>
    <cfRule type="duplicateValues" dxfId="4083" priority="1447"/>
    <cfRule type="duplicateValues" dxfId="4082" priority="1487"/>
    <cfRule type="duplicateValues" dxfId="4081" priority="1443"/>
    <cfRule type="duplicateValues" dxfId="4080" priority="1445"/>
  </conditionalFormatting>
  <conditionalFormatting sqref="C333">
    <cfRule type="duplicateValues" dxfId="4079" priority="112"/>
    <cfRule type="duplicateValues" dxfId="4078" priority="110"/>
    <cfRule type="duplicateValues" dxfId="4077" priority="111"/>
  </conditionalFormatting>
  <conditionalFormatting sqref="C335">
    <cfRule type="duplicateValues" dxfId="4076" priority="1340"/>
    <cfRule type="duplicateValues" dxfId="4075" priority="1343"/>
    <cfRule type="duplicateValues" dxfId="4074" priority="1344"/>
    <cfRule type="duplicateValues" dxfId="4073" priority="1341"/>
    <cfRule type="duplicateValues" dxfId="4072" priority="1342"/>
  </conditionalFormatting>
  <conditionalFormatting sqref="C336">
    <cfRule type="duplicateValues" dxfId="4071" priority="7242"/>
  </conditionalFormatting>
  <conditionalFormatting sqref="C337:C338">
    <cfRule type="duplicateValues" dxfId="4070" priority="560"/>
    <cfRule type="duplicateValues" dxfId="4069" priority="559"/>
    <cfRule type="duplicateValues" dxfId="4068" priority="558"/>
    <cfRule type="duplicateValues" dxfId="4067" priority="557"/>
    <cfRule type="duplicateValues" dxfId="4066" priority="556"/>
    <cfRule type="duplicateValues" dxfId="4065" priority="555"/>
    <cfRule type="duplicateValues" dxfId="4064" priority="550"/>
    <cfRule type="duplicateValues" dxfId="4063" priority="541"/>
    <cfRule type="duplicateValues" dxfId="4062" priority="565"/>
    <cfRule type="duplicateValues" dxfId="4061" priority="554"/>
    <cfRule type="duplicateValues" dxfId="4060" priority="553"/>
    <cfRule type="duplicateValues" dxfId="4059" priority="552"/>
    <cfRule type="duplicateValues" dxfId="4058" priority="551"/>
    <cfRule type="duplicateValues" dxfId="4057" priority="549"/>
    <cfRule type="duplicateValues" dxfId="4056" priority="547"/>
    <cfRule type="duplicateValues" dxfId="4055" priority="538"/>
    <cfRule type="duplicateValues" dxfId="4054" priority="548"/>
    <cfRule type="duplicateValues" dxfId="4053" priority="561"/>
    <cfRule type="duplicateValues" dxfId="4052" priority="562"/>
    <cfRule type="duplicateValues" dxfId="4051" priority="563"/>
    <cfRule type="duplicateValues" dxfId="4050" priority="546"/>
    <cfRule type="duplicateValues" dxfId="4049" priority="545"/>
    <cfRule type="duplicateValues" dxfId="4048" priority="544"/>
    <cfRule type="duplicateValues" dxfId="4047" priority="543"/>
    <cfRule type="duplicateValues" dxfId="4046" priority="564"/>
    <cfRule type="duplicateValues" dxfId="4045" priority="539"/>
    <cfRule type="duplicateValues" dxfId="4044" priority="566"/>
    <cfRule type="duplicateValues" dxfId="4043" priority="540"/>
    <cfRule type="duplicateValues" dxfId="4042" priority="542"/>
  </conditionalFormatting>
  <conditionalFormatting sqref="C339">
    <cfRule type="duplicateValues" dxfId="4041" priority="149"/>
    <cfRule type="duplicateValues" dxfId="4040" priority="148"/>
  </conditionalFormatting>
  <conditionalFormatting sqref="C340:C342">
    <cfRule type="duplicateValues" dxfId="4039" priority="146"/>
    <cfRule type="duplicateValues" dxfId="4038" priority="147"/>
  </conditionalFormatting>
  <conditionalFormatting sqref="C343">
    <cfRule type="duplicateValues" dxfId="4037" priority="144"/>
    <cfRule type="duplicateValues" dxfId="4036" priority="145"/>
  </conditionalFormatting>
  <conditionalFormatting sqref="C344">
    <cfRule type="duplicateValues" dxfId="4035" priority="639"/>
    <cfRule type="duplicateValues" dxfId="4034" priority="645"/>
    <cfRule type="duplicateValues" dxfId="4033" priority="637"/>
    <cfRule type="duplicateValues" dxfId="4032" priority="636"/>
    <cfRule type="duplicateValues" dxfId="4031" priority="635"/>
    <cfRule type="duplicateValues" dxfId="4030" priority="646"/>
    <cfRule type="duplicateValues" dxfId="4029" priority="647"/>
    <cfRule type="duplicateValues" dxfId="4028" priority="649"/>
    <cfRule type="duplicateValues" dxfId="4027" priority="638"/>
    <cfRule type="duplicateValues" dxfId="4026" priority="652"/>
    <cfRule type="duplicateValues" dxfId="4025" priority="634"/>
    <cfRule type="duplicateValues" dxfId="4024" priority="633"/>
    <cfRule type="duplicateValues" dxfId="4023" priority="648"/>
    <cfRule type="duplicateValues" dxfId="4022" priority="631"/>
    <cfRule type="duplicateValues" dxfId="4021" priority="630"/>
    <cfRule type="duplicateValues" dxfId="4020" priority="650"/>
    <cfRule type="duplicateValues" dxfId="4019" priority="651"/>
    <cfRule type="duplicateValues" dxfId="4018" priority="642"/>
    <cfRule type="duplicateValues" dxfId="4017" priority="643"/>
    <cfRule type="duplicateValues" dxfId="4016" priority="644"/>
    <cfRule type="duplicateValues" dxfId="4015" priority="653"/>
    <cfRule type="duplicateValues" dxfId="4014" priority="641"/>
    <cfRule type="duplicateValues" dxfId="4013" priority="658"/>
    <cfRule type="duplicateValues" dxfId="4012" priority="657"/>
    <cfRule type="duplicateValues" dxfId="4011" priority="640"/>
    <cfRule type="duplicateValues" dxfId="4010" priority="656"/>
    <cfRule type="duplicateValues" dxfId="4009" priority="655"/>
    <cfRule type="duplicateValues" dxfId="4008" priority="654"/>
    <cfRule type="duplicateValues" dxfId="4007" priority="632"/>
  </conditionalFormatting>
  <conditionalFormatting sqref="C345">
    <cfRule type="duplicateValues" dxfId="4006" priority="437"/>
    <cfRule type="duplicateValues" dxfId="4005" priority="436"/>
    <cfRule type="duplicateValues" dxfId="4004" priority="435"/>
    <cfRule type="duplicateValues" dxfId="4003" priority="434"/>
    <cfRule type="duplicateValues" dxfId="4002" priority="433"/>
    <cfRule type="duplicateValues" dxfId="4001" priority="432"/>
    <cfRule type="duplicateValues" dxfId="4000" priority="431"/>
    <cfRule type="duplicateValues" dxfId="3999" priority="430"/>
    <cfRule type="duplicateValues" dxfId="3998" priority="429"/>
    <cfRule type="duplicateValues" dxfId="3997" priority="428"/>
    <cfRule type="duplicateValues" dxfId="3996" priority="427"/>
    <cfRule type="duplicateValues" dxfId="3995" priority="426"/>
    <cfRule type="duplicateValues" dxfId="3994" priority="425"/>
    <cfRule type="duplicateValues" dxfId="3993" priority="424"/>
    <cfRule type="duplicateValues" dxfId="3992" priority="423"/>
    <cfRule type="duplicateValues" dxfId="3991" priority="421"/>
    <cfRule type="duplicateValues" dxfId="3990" priority="420"/>
    <cfRule type="duplicateValues" dxfId="3989" priority="419"/>
    <cfRule type="duplicateValues" dxfId="3988" priority="418"/>
    <cfRule type="duplicateValues" dxfId="3987" priority="417"/>
    <cfRule type="duplicateValues" dxfId="3986" priority="416"/>
    <cfRule type="duplicateValues" dxfId="3985" priority="415"/>
    <cfRule type="duplicateValues" dxfId="3984" priority="414"/>
    <cfRule type="duplicateValues" dxfId="3983" priority="413"/>
    <cfRule type="duplicateValues" dxfId="3982" priority="412"/>
    <cfRule type="duplicateValues" dxfId="3981" priority="411"/>
    <cfRule type="duplicateValues" dxfId="3980" priority="410"/>
    <cfRule type="duplicateValues" dxfId="3979" priority="409"/>
    <cfRule type="duplicateValues" dxfId="3978" priority="422"/>
  </conditionalFormatting>
  <conditionalFormatting sqref="C346">
    <cfRule type="duplicateValues" dxfId="3977" priority="339"/>
  </conditionalFormatting>
  <conditionalFormatting sqref="C347">
    <cfRule type="duplicateValues" dxfId="3976" priority="338"/>
  </conditionalFormatting>
  <conditionalFormatting sqref="C348">
    <cfRule type="duplicateValues" dxfId="3975" priority="1096"/>
    <cfRule type="duplicateValues" dxfId="3974" priority="1095"/>
    <cfRule type="duplicateValues" dxfId="3973" priority="1094"/>
  </conditionalFormatting>
  <conditionalFormatting sqref="C351">
    <cfRule type="duplicateValues" dxfId="3972" priority="2515"/>
    <cfRule type="duplicateValues" dxfId="3971" priority="2514"/>
  </conditionalFormatting>
  <conditionalFormatting sqref="C353 C356">
    <cfRule type="duplicateValues" dxfId="3970" priority="2137"/>
    <cfRule type="duplicateValues" dxfId="3969" priority="2135"/>
    <cfRule type="duplicateValues" dxfId="3968" priority="2136"/>
  </conditionalFormatting>
  <conditionalFormatting sqref="C353">
    <cfRule type="duplicateValues" dxfId="3967" priority="2132"/>
    <cfRule type="duplicateValues" dxfId="3966" priority="2133"/>
    <cfRule type="duplicateValues" dxfId="3965" priority="2134"/>
  </conditionalFormatting>
  <conditionalFormatting sqref="C354:C355">
    <cfRule type="duplicateValues" dxfId="3964" priority="142"/>
    <cfRule type="duplicateValues" dxfId="3963" priority="143"/>
  </conditionalFormatting>
  <conditionalFormatting sqref="C358">
    <cfRule type="duplicateValues" dxfId="3962" priority="2665"/>
    <cfRule type="duplicateValues" dxfId="3961" priority="2669"/>
    <cfRule type="duplicateValues" dxfId="3960" priority="2668"/>
    <cfRule type="duplicateValues" dxfId="3959" priority="2667"/>
    <cfRule type="duplicateValues" dxfId="3958" priority="2666"/>
    <cfRule type="duplicateValues" dxfId="3957" priority="2663"/>
    <cfRule type="duplicateValues" dxfId="3956" priority="2661"/>
    <cfRule type="duplicateValues" dxfId="3955" priority="2660"/>
    <cfRule type="duplicateValues" dxfId="3954" priority="2670"/>
    <cfRule type="duplicateValues" dxfId="3953" priority="2664"/>
    <cfRule type="duplicateValues" dxfId="3952" priority="2662"/>
  </conditionalFormatting>
  <conditionalFormatting sqref="C359">
    <cfRule type="duplicateValues" dxfId="3951" priority="1880"/>
    <cfRule type="duplicateValues" dxfId="3950" priority="1879"/>
    <cfRule type="duplicateValues" dxfId="3949" priority="1881"/>
    <cfRule type="duplicateValues" dxfId="3948" priority="1882"/>
  </conditionalFormatting>
  <conditionalFormatting sqref="C361">
    <cfRule type="duplicateValues" dxfId="3947" priority="6345"/>
  </conditionalFormatting>
  <conditionalFormatting sqref="C363">
    <cfRule type="duplicateValues" dxfId="3946" priority="6333"/>
    <cfRule type="duplicateValues" dxfId="3945" priority="6334"/>
    <cfRule type="duplicateValues" dxfId="3944" priority="6335"/>
    <cfRule type="duplicateValues" dxfId="3943" priority="6336"/>
    <cfRule type="duplicateValues" dxfId="3942" priority="6337"/>
  </conditionalFormatting>
  <conditionalFormatting sqref="C364">
    <cfRule type="duplicateValues" dxfId="3941" priority="62"/>
    <cfRule type="duplicateValues" dxfId="3940" priority="63"/>
    <cfRule type="duplicateValues" dxfId="3939" priority="61"/>
  </conditionalFormatting>
  <conditionalFormatting sqref="C365">
    <cfRule type="duplicateValues" dxfId="3938" priority="1686"/>
    <cfRule type="duplicateValues" dxfId="3937" priority="1685"/>
    <cfRule type="duplicateValues" dxfId="3936" priority="1684"/>
    <cfRule type="duplicateValues" dxfId="3935" priority="1683"/>
  </conditionalFormatting>
  <conditionalFormatting sqref="C366">
    <cfRule type="duplicateValues" dxfId="3934" priority="2477"/>
    <cfRule type="duplicateValues" dxfId="3933" priority="2478"/>
  </conditionalFormatting>
  <conditionalFormatting sqref="C367">
    <cfRule type="duplicateValues" dxfId="3932" priority="11"/>
  </conditionalFormatting>
  <conditionalFormatting sqref="C368">
    <cfRule type="duplicateValues" dxfId="3931" priority="1635"/>
    <cfRule type="duplicateValues" dxfId="3930" priority="1636"/>
    <cfRule type="duplicateValues" dxfId="3929" priority="1637"/>
    <cfRule type="duplicateValues" dxfId="3928" priority="1638"/>
    <cfRule type="duplicateValues" dxfId="3927" priority="1631"/>
    <cfRule type="duplicateValues" dxfId="3926" priority="1632"/>
    <cfRule type="duplicateValues" dxfId="3925" priority="1633"/>
    <cfRule type="duplicateValues" dxfId="3924" priority="1634"/>
  </conditionalFormatting>
  <conditionalFormatting sqref="C369">
    <cfRule type="duplicateValues" dxfId="3923" priority="3359"/>
    <cfRule type="duplicateValues" dxfId="3922" priority="3360"/>
    <cfRule type="duplicateValues" dxfId="3921" priority="3358"/>
    <cfRule type="duplicateValues" dxfId="3920" priority="3361"/>
    <cfRule type="duplicateValues" dxfId="3919" priority="3363"/>
    <cfRule type="duplicateValues" dxfId="3918" priority="3364"/>
    <cfRule type="duplicateValues" dxfId="3917" priority="3362"/>
    <cfRule type="duplicateValues" dxfId="3916" priority="3357"/>
  </conditionalFormatting>
  <conditionalFormatting sqref="C370">
    <cfRule type="duplicateValues" dxfId="3915" priority="2218"/>
    <cfRule type="duplicateValues" dxfId="3914" priority="2221"/>
    <cfRule type="duplicateValues" dxfId="3913" priority="2222"/>
    <cfRule type="duplicateValues" dxfId="3912" priority="2224"/>
    <cfRule type="duplicateValues" dxfId="3911" priority="2229"/>
    <cfRule type="duplicateValues" dxfId="3910" priority="2217"/>
    <cfRule type="duplicateValues" dxfId="3909" priority="2230"/>
    <cfRule type="duplicateValues" dxfId="3908" priority="2225"/>
    <cfRule type="duplicateValues" dxfId="3907" priority="2226"/>
    <cfRule type="duplicateValues" dxfId="3906" priority="2228"/>
    <cfRule type="duplicateValues" dxfId="3905" priority="2227"/>
    <cfRule type="duplicateValues" dxfId="3904" priority="2219"/>
    <cfRule type="duplicateValues" dxfId="3903" priority="2220"/>
    <cfRule type="duplicateValues" dxfId="3902" priority="2223"/>
  </conditionalFormatting>
  <conditionalFormatting sqref="C371:C372">
    <cfRule type="duplicateValues" dxfId="3901" priority="67"/>
  </conditionalFormatting>
  <conditionalFormatting sqref="C373">
    <cfRule type="duplicateValues" dxfId="3900" priority="66"/>
  </conditionalFormatting>
  <conditionalFormatting sqref="C378">
    <cfRule type="duplicateValues" dxfId="3899" priority="2032"/>
  </conditionalFormatting>
  <conditionalFormatting sqref="C379">
    <cfRule type="duplicateValues" dxfId="3898" priority="2031"/>
  </conditionalFormatting>
  <conditionalFormatting sqref="C380">
    <cfRule type="duplicateValues" dxfId="3897" priority="8"/>
  </conditionalFormatting>
  <conditionalFormatting sqref="C381">
    <cfRule type="duplicateValues" dxfId="3896" priority="2023"/>
    <cfRule type="duplicateValues" dxfId="3895" priority="2026"/>
    <cfRule type="duplicateValues" dxfId="3894" priority="2025"/>
    <cfRule type="duplicateValues" dxfId="3893" priority="2024"/>
  </conditionalFormatting>
  <conditionalFormatting sqref="C382">
    <cfRule type="duplicateValues" dxfId="3892" priority="937"/>
  </conditionalFormatting>
  <conditionalFormatting sqref="C383">
    <cfRule type="duplicateValues" dxfId="3891" priority="3504"/>
    <cfRule type="duplicateValues" dxfId="3890" priority="3505"/>
    <cfRule type="duplicateValues" dxfId="3889" priority="3506"/>
    <cfRule type="duplicateValues" dxfId="3888" priority="3507"/>
    <cfRule type="duplicateValues" dxfId="3887" priority="3502"/>
    <cfRule type="duplicateValues" dxfId="3886" priority="3503"/>
  </conditionalFormatting>
  <conditionalFormatting sqref="C384 C387:C395">
    <cfRule type="duplicateValues" dxfId="3885" priority="1032"/>
    <cfRule type="duplicateValues" dxfId="3884" priority="1046"/>
    <cfRule type="duplicateValues" dxfId="3883" priority="1031"/>
  </conditionalFormatting>
  <conditionalFormatting sqref="C384">
    <cfRule type="duplicateValues" dxfId="3882" priority="1030"/>
    <cfRule type="duplicateValues" dxfId="3881" priority="1039"/>
    <cfRule type="duplicateValues" dxfId="3880" priority="1040"/>
    <cfRule type="duplicateValues" dxfId="3879" priority="1029"/>
    <cfRule type="duplicateValues" dxfId="3878" priority="1038"/>
    <cfRule type="duplicateValues" dxfId="3877" priority="1037"/>
    <cfRule type="duplicateValues" dxfId="3876" priority="1034"/>
    <cfRule type="duplicateValues" dxfId="3875" priority="1028"/>
    <cfRule type="duplicateValues" dxfId="3874" priority="1035"/>
    <cfRule type="duplicateValues" dxfId="3873" priority="1042"/>
    <cfRule type="duplicateValues" dxfId="3872" priority="1036"/>
    <cfRule type="duplicateValues" dxfId="3871" priority="1045"/>
    <cfRule type="duplicateValues" dxfId="3870" priority="1044"/>
    <cfRule type="duplicateValues" dxfId="3869" priority="1043"/>
    <cfRule type="duplicateValues" dxfId="3868" priority="1041"/>
    <cfRule type="duplicateValues" dxfId="3867" priority="1033"/>
  </conditionalFormatting>
  <conditionalFormatting sqref="C385">
    <cfRule type="duplicateValues" dxfId="3866" priority="163"/>
  </conditionalFormatting>
  <conditionalFormatting sqref="C386">
    <cfRule type="duplicateValues" dxfId="3865" priority="162"/>
  </conditionalFormatting>
  <conditionalFormatting sqref="C396">
    <cfRule type="duplicateValues" dxfId="3864" priority="1976"/>
    <cfRule type="duplicateValues" dxfId="3863" priority="1974"/>
    <cfRule type="duplicateValues" dxfId="3862" priority="1984"/>
    <cfRule type="duplicateValues" dxfId="3861" priority="1985"/>
    <cfRule type="duplicateValues" dxfId="3860" priority="1986"/>
    <cfRule type="duplicateValues" dxfId="3859" priority="1987"/>
    <cfRule type="duplicateValues" dxfId="3858" priority="1988"/>
    <cfRule type="duplicateValues" dxfId="3857" priority="1975"/>
    <cfRule type="duplicateValues" dxfId="3856" priority="1983"/>
    <cfRule type="duplicateValues" dxfId="3855" priority="1982"/>
    <cfRule type="duplicateValues" dxfId="3854" priority="1981"/>
    <cfRule type="duplicateValues" dxfId="3853" priority="1980"/>
    <cfRule type="duplicateValues" dxfId="3852" priority="1979"/>
    <cfRule type="duplicateValues" dxfId="3851" priority="1978"/>
    <cfRule type="duplicateValues" dxfId="3850" priority="1977"/>
  </conditionalFormatting>
  <conditionalFormatting sqref="C397">
    <cfRule type="duplicateValues" dxfId="3849" priority="2962"/>
  </conditionalFormatting>
  <conditionalFormatting sqref="C398">
    <cfRule type="duplicateValues" dxfId="3848" priority="2951"/>
    <cfRule type="duplicateValues" dxfId="3847" priority="2952"/>
    <cfRule type="duplicateValues" dxfId="3846" priority="2945"/>
    <cfRule type="duplicateValues" dxfId="3845" priority="2946"/>
    <cfRule type="duplicateValues" dxfId="3844" priority="2947"/>
    <cfRule type="duplicateValues" dxfId="3843" priority="2948"/>
    <cfRule type="duplicateValues" dxfId="3842" priority="2949"/>
    <cfRule type="duplicateValues" dxfId="3841" priority="2953"/>
    <cfRule type="duplicateValues" dxfId="3840" priority="2950"/>
  </conditionalFormatting>
  <conditionalFormatting sqref="C399">
    <cfRule type="duplicateValues" dxfId="3839" priority="908"/>
  </conditionalFormatting>
  <conditionalFormatting sqref="C400">
    <cfRule type="duplicateValues" dxfId="3838" priority="907"/>
  </conditionalFormatting>
  <conditionalFormatting sqref="C401">
    <cfRule type="duplicateValues" dxfId="3837" priority="14901"/>
  </conditionalFormatting>
  <conditionalFormatting sqref="C402:C405">
    <cfRule type="duplicateValues" dxfId="3836" priority="3036"/>
    <cfRule type="duplicateValues" dxfId="3835" priority="3037"/>
    <cfRule type="duplicateValues" dxfId="3834" priority="3042"/>
    <cfRule type="duplicateValues" dxfId="3833" priority="3044"/>
    <cfRule type="duplicateValues" dxfId="3832" priority="3043"/>
    <cfRule type="duplicateValues" dxfId="3831" priority="3041"/>
    <cfRule type="duplicateValues" dxfId="3830" priority="3040"/>
    <cfRule type="duplicateValues" dxfId="3829" priority="3039"/>
    <cfRule type="duplicateValues" dxfId="3828" priority="3038"/>
  </conditionalFormatting>
  <conditionalFormatting sqref="C409">
    <cfRule type="duplicateValues" dxfId="3827" priority="817"/>
  </conditionalFormatting>
  <conditionalFormatting sqref="C410">
    <cfRule type="duplicateValues" dxfId="3826" priority="816"/>
  </conditionalFormatting>
  <conditionalFormatting sqref="C411">
    <cfRule type="duplicateValues" dxfId="3825" priority="815"/>
  </conditionalFormatting>
  <conditionalFormatting sqref="C412:C414">
    <cfRule type="duplicateValues" dxfId="3824" priority="721"/>
  </conditionalFormatting>
  <conditionalFormatting sqref="C415:C417">
    <cfRule type="duplicateValues" dxfId="3823" priority="2791"/>
    <cfRule type="duplicateValues" dxfId="3822" priority="2786"/>
    <cfRule type="duplicateValues" dxfId="3821" priority="2787"/>
    <cfRule type="duplicateValues" dxfId="3820" priority="2785"/>
    <cfRule type="duplicateValues" dxfId="3819" priority="2784"/>
    <cfRule type="duplicateValues" dxfId="3818" priority="2783"/>
    <cfRule type="duplicateValues" dxfId="3817" priority="2792"/>
    <cfRule type="duplicateValues" dxfId="3816" priority="2790"/>
    <cfRule type="duplicateValues" dxfId="3815" priority="2789"/>
    <cfRule type="duplicateValues" dxfId="3814" priority="2788"/>
  </conditionalFormatting>
  <conditionalFormatting sqref="C418">
    <cfRule type="duplicateValues" dxfId="3813" priority="1534"/>
  </conditionalFormatting>
  <conditionalFormatting sqref="C419:C420">
    <cfRule type="duplicateValues" dxfId="3812" priority="6308"/>
    <cfRule type="duplicateValues" dxfId="3811" priority="6306"/>
    <cfRule type="duplicateValues" dxfId="3810" priority="6307"/>
    <cfRule type="duplicateValues" dxfId="3809" priority="6309"/>
  </conditionalFormatting>
  <conditionalFormatting sqref="C421:C422">
    <cfRule type="duplicateValues" dxfId="3808" priority="3165"/>
    <cfRule type="duplicateValues" dxfId="3807" priority="3162"/>
    <cfRule type="duplicateValues" dxfId="3806" priority="3166"/>
    <cfRule type="duplicateValues" dxfId="3805" priority="3167"/>
    <cfRule type="duplicateValues" dxfId="3804" priority="3168"/>
    <cfRule type="duplicateValues" dxfId="3803" priority="3169"/>
    <cfRule type="duplicateValues" dxfId="3802" priority="3163"/>
    <cfRule type="duplicateValues" dxfId="3801" priority="3164"/>
  </conditionalFormatting>
  <conditionalFormatting sqref="C423">
    <cfRule type="duplicateValues" dxfId="3800" priority="4379"/>
    <cfRule type="duplicateValues" dxfId="3799" priority="4378"/>
    <cfRule type="duplicateValues" dxfId="3798" priority="4377"/>
    <cfRule type="duplicateValues" dxfId="3797" priority="4376"/>
  </conditionalFormatting>
  <conditionalFormatting sqref="C424:C425">
    <cfRule type="duplicateValues" dxfId="3796" priority="3431"/>
    <cfRule type="duplicateValues" dxfId="3795" priority="3435"/>
    <cfRule type="duplicateValues" dxfId="3794" priority="3430"/>
    <cfRule type="duplicateValues" dxfId="3793" priority="3432"/>
    <cfRule type="duplicateValues" dxfId="3792" priority="3433"/>
    <cfRule type="duplicateValues" dxfId="3791" priority="3434"/>
    <cfRule type="duplicateValues" dxfId="3790" priority="3429"/>
    <cfRule type="duplicateValues" dxfId="3789" priority="3436"/>
  </conditionalFormatting>
  <conditionalFormatting sqref="C426:C428">
    <cfRule type="duplicateValues" dxfId="3788" priority="3314"/>
    <cfRule type="duplicateValues" dxfId="3787" priority="3311"/>
    <cfRule type="duplicateValues" dxfId="3786" priority="3316"/>
    <cfRule type="duplicateValues" dxfId="3785" priority="3317"/>
    <cfRule type="duplicateValues" dxfId="3784" priority="3315"/>
    <cfRule type="duplicateValues" dxfId="3783" priority="3310"/>
    <cfRule type="duplicateValues" dxfId="3782" priority="3312"/>
    <cfRule type="duplicateValues" dxfId="3781" priority="3313"/>
  </conditionalFormatting>
  <conditionalFormatting sqref="C429">
    <cfRule type="duplicateValues" dxfId="3780" priority="2151"/>
    <cfRule type="duplicateValues" dxfId="3779" priority="2150"/>
    <cfRule type="duplicateValues" dxfId="3778" priority="2149"/>
  </conditionalFormatting>
  <conditionalFormatting sqref="C430">
    <cfRule type="duplicateValues" dxfId="3777" priority="2148"/>
    <cfRule type="duplicateValues" dxfId="3776" priority="2146"/>
    <cfRule type="duplicateValues" dxfId="3775" priority="2147"/>
  </conditionalFormatting>
  <conditionalFormatting sqref="C431">
    <cfRule type="duplicateValues" dxfId="3774" priority="2143"/>
    <cfRule type="duplicateValues" dxfId="3773" priority="2145"/>
    <cfRule type="duplicateValues" dxfId="3772" priority="2144"/>
  </conditionalFormatting>
  <conditionalFormatting sqref="C433">
    <cfRule type="duplicateValues" dxfId="3771" priority="4093"/>
    <cfRule type="duplicateValues" dxfId="3770" priority="4094"/>
    <cfRule type="duplicateValues" dxfId="3769" priority="4097"/>
    <cfRule type="duplicateValues" dxfId="3768" priority="4095"/>
    <cfRule type="duplicateValues" dxfId="3767" priority="4096"/>
  </conditionalFormatting>
  <conditionalFormatting sqref="C436">
    <cfRule type="duplicateValues" dxfId="3766" priority="5803"/>
    <cfRule type="duplicateValues" dxfId="3765" priority="5804"/>
    <cfRule type="duplicateValues" dxfId="3764" priority="5805"/>
    <cfRule type="duplicateValues" dxfId="3763" priority="5801"/>
    <cfRule type="duplicateValues" dxfId="3762" priority="5799"/>
    <cfRule type="duplicateValues" dxfId="3761" priority="5800"/>
    <cfRule type="duplicateValues" dxfId="3760" priority="5802"/>
  </conditionalFormatting>
  <conditionalFormatting sqref="C437">
    <cfRule type="duplicateValues" dxfId="3759" priority="2127"/>
  </conditionalFormatting>
  <conditionalFormatting sqref="C438">
    <cfRule type="duplicateValues" dxfId="3758" priority="3557"/>
    <cfRule type="duplicateValues" dxfId="3757" priority="3556"/>
    <cfRule type="duplicateValues" dxfId="3756" priority="3560"/>
    <cfRule type="duplicateValues" dxfId="3755" priority="3559"/>
    <cfRule type="duplicateValues" dxfId="3754" priority="3558"/>
  </conditionalFormatting>
  <conditionalFormatting sqref="C439">
    <cfRule type="duplicateValues" dxfId="3753" priority="2131"/>
  </conditionalFormatting>
  <conditionalFormatting sqref="C440">
    <cfRule type="duplicateValues" dxfId="3752" priority="2130"/>
  </conditionalFormatting>
  <conditionalFormatting sqref="C441:C442">
    <cfRule type="duplicateValues" dxfId="3751" priority="2129"/>
  </conditionalFormatting>
  <conditionalFormatting sqref="C443">
    <cfRule type="duplicateValues" dxfId="3750" priority="2128"/>
  </conditionalFormatting>
  <conditionalFormatting sqref="C444">
    <cfRule type="duplicateValues" dxfId="3749" priority="3309"/>
    <cfRule type="duplicateValues" dxfId="3748" priority="3308"/>
    <cfRule type="duplicateValues" dxfId="3747" priority="3307"/>
    <cfRule type="duplicateValues" dxfId="3746" priority="3306"/>
    <cfRule type="duplicateValues" dxfId="3745" priority="3305"/>
    <cfRule type="duplicateValues" dxfId="3744" priority="3304"/>
    <cfRule type="duplicateValues" dxfId="3743" priority="3303"/>
    <cfRule type="duplicateValues" dxfId="3742" priority="3302"/>
  </conditionalFormatting>
  <conditionalFormatting sqref="C445:C447">
    <cfRule type="duplicateValues" dxfId="3741" priority="2419"/>
    <cfRule type="duplicateValues" dxfId="3740" priority="2420"/>
  </conditionalFormatting>
  <conditionalFormatting sqref="C448">
    <cfRule type="duplicateValues" dxfId="3739" priority="2417"/>
    <cfRule type="duplicateValues" dxfId="3738" priority="2418"/>
  </conditionalFormatting>
  <conditionalFormatting sqref="C449">
    <cfRule type="duplicateValues" dxfId="3737" priority="3274"/>
    <cfRule type="duplicateValues" dxfId="3736" priority="3275"/>
    <cfRule type="duplicateValues" dxfId="3735" priority="3276"/>
    <cfRule type="duplicateValues" dxfId="3734" priority="3270"/>
    <cfRule type="duplicateValues" dxfId="3733" priority="3269"/>
    <cfRule type="duplicateValues" dxfId="3732" priority="3271"/>
    <cfRule type="duplicateValues" dxfId="3731" priority="3272"/>
    <cfRule type="duplicateValues" dxfId="3730" priority="3273"/>
  </conditionalFormatting>
  <conditionalFormatting sqref="C450">
    <cfRule type="duplicateValues" dxfId="3729" priority="2138"/>
  </conditionalFormatting>
  <conditionalFormatting sqref="C451:C460">
    <cfRule type="duplicateValues" dxfId="3728" priority="1576"/>
  </conditionalFormatting>
  <conditionalFormatting sqref="C461 C467">
    <cfRule type="duplicateValues" dxfId="3727" priority="1582"/>
  </conditionalFormatting>
  <conditionalFormatting sqref="C461 C467:C468">
    <cfRule type="duplicateValues" dxfId="3726" priority="1577"/>
  </conditionalFormatting>
  <conditionalFormatting sqref="C461">
    <cfRule type="duplicateValues" dxfId="3725" priority="1585"/>
  </conditionalFormatting>
  <conditionalFormatting sqref="C462 C465">
    <cfRule type="duplicateValues" dxfId="3724" priority="1575"/>
  </conditionalFormatting>
  <conditionalFormatting sqref="C463">
    <cfRule type="duplicateValues" dxfId="3723" priority="59"/>
    <cfRule type="duplicateValues" dxfId="3722" priority="60"/>
  </conditionalFormatting>
  <conditionalFormatting sqref="C464">
    <cfRule type="duplicateValues" dxfId="3721" priority="58"/>
    <cfRule type="duplicateValues" dxfId="3720" priority="57"/>
  </conditionalFormatting>
  <conditionalFormatting sqref="C466">
    <cfRule type="duplicateValues" dxfId="3719" priority="1106"/>
    <cfRule type="duplicateValues" dxfId="3718" priority="1105"/>
    <cfRule type="duplicateValues" dxfId="3717" priority="1104"/>
    <cfRule type="duplicateValues" dxfId="3716" priority="1103"/>
  </conditionalFormatting>
  <conditionalFormatting sqref="C467">
    <cfRule type="duplicateValues" dxfId="3715" priority="1583"/>
  </conditionalFormatting>
  <conditionalFormatting sqref="C468">
    <cfRule type="duplicateValues" dxfId="3714" priority="1579"/>
    <cfRule type="duplicateValues" dxfId="3713" priority="1580"/>
    <cfRule type="duplicateValues" dxfId="3712" priority="1581"/>
    <cfRule type="duplicateValues" dxfId="3711" priority="1578"/>
  </conditionalFormatting>
  <conditionalFormatting sqref="C469">
    <cfRule type="duplicateValues" dxfId="3710" priority="1906"/>
    <cfRule type="duplicateValues" dxfId="3709" priority="1903"/>
    <cfRule type="duplicateValues" dxfId="3708" priority="1904"/>
    <cfRule type="duplicateValues" dxfId="3707" priority="1905"/>
  </conditionalFormatting>
  <conditionalFormatting sqref="C470">
    <cfRule type="duplicateValues" dxfId="3706" priority="921"/>
    <cfRule type="duplicateValues" dxfId="3705" priority="920"/>
  </conditionalFormatting>
  <conditionalFormatting sqref="C471:C473">
    <cfRule type="duplicateValues" dxfId="3704" priority="141"/>
    <cfRule type="duplicateValues" dxfId="3703" priority="140"/>
  </conditionalFormatting>
  <conditionalFormatting sqref="C474">
    <cfRule type="duplicateValues" dxfId="3702" priority="139"/>
    <cfRule type="duplicateValues" dxfId="3701" priority="138"/>
  </conditionalFormatting>
  <conditionalFormatting sqref="C475">
    <cfRule type="duplicateValues" dxfId="3700" priority="328"/>
  </conditionalFormatting>
  <conditionalFormatting sqref="C476">
    <cfRule type="duplicateValues" dxfId="3699" priority="327"/>
  </conditionalFormatting>
  <conditionalFormatting sqref="C477">
    <cfRule type="duplicateValues" dxfId="3698" priority="1948"/>
    <cfRule type="duplicateValues" dxfId="3697" priority="1947"/>
    <cfRule type="duplicateValues" dxfId="3696" priority="1949"/>
    <cfRule type="duplicateValues" dxfId="3695" priority="1950"/>
  </conditionalFormatting>
  <conditionalFormatting sqref="C478">
    <cfRule type="duplicateValues" dxfId="3694" priority="3227"/>
  </conditionalFormatting>
  <conditionalFormatting sqref="C479">
    <cfRule type="duplicateValues" dxfId="3693" priority="93"/>
  </conditionalFormatting>
  <conditionalFormatting sqref="C480">
    <cfRule type="duplicateValues" dxfId="3692" priority="92"/>
  </conditionalFormatting>
  <conditionalFormatting sqref="C482">
    <cfRule type="duplicateValues" dxfId="3691" priority="3213"/>
    <cfRule type="duplicateValues" dxfId="3690" priority="3214"/>
    <cfRule type="duplicateValues" dxfId="3689" priority="3215"/>
    <cfRule type="duplicateValues" dxfId="3688" priority="3219"/>
    <cfRule type="duplicateValues" dxfId="3687" priority="3212"/>
    <cfRule type="duplicateValues" dxfId="3686" priority="3218"/>
    <cfRule type="duplicateValues" dxfId="3685" priority="3217"/>
    <cfRule type="duplicateValues" dxfId="3684" priority="3216"/>
  </conditionalFormatting>
  <conditionalFormatting sqref="C483:C484">
    <cfRule type="duplicateValues" dxfId="3683" priority="107"/>
    <cfRule type="duplicateValues" dxfId="3682" priority="108"/>
    <cfRule type="duplicateValues" dxfId="3681" priority="109"/>
  </conditionalFormatting>
  <conditionalFormatting sqref="C485">
    <cfRule type="duplicateValues" dxfId="3680" priority="2445"/>
    <cfRule type="duplicateValues" dxfId="3679" priority="2446"/>
  </conditionalFormatting>
  <conditionalFormatting sqref="C486:C487">
    <cfRule type="duplicateValues" dxfId="3678" priority="2443"/>
    <cfRule type="duplicateValues" dxfId="3677" priority="2444"/>
  </conditionalFormatting>
  <conditionalFormatting sqref="C488:C489">
    <cfRule type="duplicateValues" dxfId="3676" priority="202"/>
  </conditionalFormatting>
  <conditionalFormatting sqref="C490">
    <cfRule type="duplicateValues" dxfId="3675" priority="201"/>
  </conditionalFormatting>
  <conditionalFormatting sqref="C491:C493">
    <cfRule type="duplicateValues" dxfId="3674" priority="167"/>
    <cfRule type="duplicateValues" dxfId="3673" priority="168"/>
  </conditionalFormatting>
  <conditionalFormatting sqref="C494 C432 C361 C408 C434:C435 C363">
    <cfRule type="duplicateValues" dxfId="3672" priority="6312"/>
  </conditionalFormatting>
  <conditionalFormatting sqref="C494 C432 C361 C408 C434:C435">
    <cfRule type="duplicateValues" dxfId="3671" priority="6346"/>
  </conditionalFormatting>
  <conditionalFormatting sqref="C494">
    <cfRule type="duplicateValues" dxfId="3670" priority="6310"/>
    <cfRule type="duplicateValues" dxfId="3669" priority="6338"/>
  </conditionalFormatting>
  <conditionalFormatting sqref="C496">
    <cfRule type="duplicateValues" dxfId="3668" priority="916"/>
    <cfRule type="duplicateValues" dxfId="3667" priority="917"/>
  </conditionalFormatting>
  <conditionalFormatting sqref="C497:C498 C501 C525 C504 C530 C535">
    <cfRule type="duplicateValues" dxfId="3666" priority="6521"/>
  </conditionalFormatting>
  <conditionalFormatting sqref="C497:C498 C501 C525 C504 C530">
    <cfRule type="duplicateValues" dxfId="3665" priority="6520"/>
  </conditionalFormatting>
  <conditionalFormatting sqref="C497:C498">
    <cfRule type="duplicateValues" dxfId="3664" priority="6519"/>
    <cfRule type="duplicateValues" dxfId="3663" priority="6518"/>
  </conditionalFormatting>
  <conditionalFormatting sqref="C499">
    <cfRule type="duplicateValues" dxfId="3662" priority="119"/>
  </conditionalFormatting>
  <conditionalFormatting sqref="C500">
    <cfRule type="duplicateValues" dxfId="3661" priority="2142"/>
  </conditionalFormatting>
  <conditionalFormatting sqref="C502">
    <cfRule type="duplicateValues" dxfId="3660" priority="2172"/>
    <cfRule type="duplicateValues" dxfId="3659" priority="2170"/>
    <cfRule type="duplicateValues" dxfId="3658" priority="2171"/>
  </conditionalFormatting>
  <conditionalFormatting sqref="C503">
    <cfRule type="duplicateValues" dxfId="3657" priority="532"/>
    <cfRule type="duplicateValues" dxfId="3656" priority="531"/>
    <cfRule type="duplicateValues" dxfId="3655" priority="530"/>
    <cfRule type="duplicateValues" dxfId="3654" priority="529"/>
    <cfRule type="duplicateValues" dxfId="3653" priority="528"/>
    <cfRule type="duplicateValues" dxfId="3652" priority="527"/>
    <cfRule type="duplicateValues" dxfId="3651" priority="516"/>
    <cfRule type="duplicateValues" dxfId="3650" priority="510"/>
    <cfRule type="duplicateValues" dxfId="3649" priority="534"/>
    <cfRule type="duplicateValues" dxfId="3648" priority="535"/>
    <cfRule type="duplicateValues" dxfId="3647" priority="517"/>
    <cfRule type="duplicateValues" dxfId="3646" priority="518"/>
    <cfRule type="duplicateValues" dxfId="3645" priority="519"/>
    <cfRule type="duplicateValues" dxfId="3644" priority="520"/>
    <cfRule type="duplicateValues" dxfId="3643" priority="526"/>
    <cfRule type="duplicateValues" dxfId="3642" priority="524"/>
    <cfRule type="duplicateValues" dxfId="3641" priority="533"/>
    <cfRule type="duplicateValues" dxfId="3640" priority="521"/>
    <cfRule type="duplicateValues" dxfId="3639" priority="522"/>
    <cfRule type="duplicateValues" dxfId="3638" priority="513"/>
    <cfRule type="duplicateValues" dxfId="3637" priority="523"/>
    <cfRule type="duplicateValues" dxfId="3636" priority="537"/>
    <cfRule type="duplicateValues" dxfId="3635" priority="511"/>
    <cfRule type="duplicateValues" dxfId="3634" priority="512"/>
    <cfRule type="duplicateValues" dxfId="3633" priority="536"/>
    <cfRule type="duplicateValues" dxfId="3632" priority="509"/>
    <cfRule type="duplicateValues" dxfId="3631" priority="525"/>
    <cfRule type="duplicateValues" dxfId="3630" priority="514"/>
    <cfRule type="duplicateValues" dxfId="3629" priority="515"/>
  </conditionalFormatting>
  <conditionalFormatting sqref="C505:C506">
    <cfRule type="duplicateValues" dxfId="3628" priority="474"/>
  </conditionalFormatting>
  <conditionalFormatting sqref="C507">
    <cfRule type="duplicateValues" dxfId="3627" priority="473"/>
  </conditionalFormatting>
  <conditionalFormatting sqref="C508">
    <cfRule type="duplicateValues" dxfId="3626" priority="2481"/>
    <cfRule type="duplicateValues" dxfId="3625" priority="2482"/>
  </conditionalFormatting>
  <conditionalFormatting sqref="C509">
    <cfRule type="duplicateValues" dxfId="3624" priority="2384"/>
    <cfRule type="duplicateValues" dxfId="3623" priority="2379"/>
    <cfRule type="duplicateValues" dxfId="3622" priority="2380"/>
    <cfRule type="duplicateValues" dxfId="3621" priority="2381"/>
    <cfRule type="duplicateValues" dxfId="3620" priority="2382"/>
    <cfRule type="duplicateValues" dxfId="3619" priority="2383"/>
    <cfRule type="duplicateValues" dxfId="3618" priority="2378"/>
  </conditionalFormatting>
  <conditionalFormatting sqref="C510">
    <cfRule type="duplicateValues" dxfId="3617" priority="2898"/>
    <cfRule type="duplicateValues" dxfId="3616" priority="2892"/>
    <cfRule type="duplicateValues" dxfId="3615" priority="2893"/>
    <cfRule type="duplicateValues" dxfId="3614" priority="2894"/>
    <cfRule type="duplicateValues" dxfId="3613" priority="2896"/>
    <cfRule type="duplicateValues" dxfId="3612" priority="2897"/>
    <cfRule type="duplicateValues" dxfId="3611" priority="2895"/>
  </conditionalFormatting>
  <conditionalFormatting sqref="C511">
    <cfRule type="duplicateValues" dxfId="3610" priority="340"/>
    <cfRule type="duplicateValues" dxfId="3609" priority="341"/>
    <cfRule type="duplicateValues" dxfId="3608" priority="342"/>
    <cfRule type="duplicateValues" dxfId="3607" priority="343"/>
  </conditionalFormatting>
  <conditionalFormatting sqref="C512">
    <cfRule type="duplicateValues" dxfId="3606" priority="332"/>
  </conditionalFormatting>
  <conditionalFormatting sqref="C513">
    <cfRule type="duplicateValues" dxfId="3605" priority="307"/>
    <cfRule type="duplicateValues" dxfId="3604" priority="306"/>
  </conditionalFormatting>
  <conditionalFormatting sqref="C514">
    <cfRule type="duplicateValues" dxfId="3603" priority="300"/>
    <cfRule type="duplicateValues" dxfId="3602" priority="299"/>
  </conditionalFormatting>
  <conditionalFormatting sqref="C515">
    <cfRule type="duplicateValues" dxfId="3601" priority="2086"/>
  </conditionalFormatting>
  <conditionalFormatting sqref="C516">
    <cfRule type="duplicateValues" dxfId="3600" priority="237"/>
    <cfRule type="duplicateValues" dxfId="3599" priority="241"/>
    <cfRule type="duplicateValues" dxfId="3598" priority="240"/>
    <cfRule type="duplicateValues" dxfId="3597" priority="239"/>
    <cfRule type="duplicateValues" dxfId="3596" priority="238"/>
  </conditionalFormatting>
  <conditionalFormatting sqref="C517:C518">
    <cfRule type="duplicateValues" dxfId="3595" priority="2718"/>
    <cfRule type="duplicateValues" dxfId="3594" priority="2730"/>
    <cfRule type="duplicateValues" dxfId="3593" priority="2731"/>
    <cfRule type="duplicateValues" dxfId="3592" priority="2716"/>
    <cfRule type="duplicateValues" dxfId="3591" priority="2715"/>
    <cfRule type="duplicateValues" dxfId="3590" priority="2714"/>
    <cfRule type="duplicateValues" dxfId="3589" priority="2713"/>
    <cfRule type="duplicateValues" dxfId="3588" priority="2712"/>
    <cfRule type="duplicateValues" dxfId="3587" priority="2723"/>
    <cfRule type="duplicateValues" dxfId="3586" priority="2722"/>
    <cfRule type="duplicateValues" dxfId="3585" priority="2732"/>
    <cfRule type="duplicateValues" dxfId="3584" priority="2721"/>
    <cfRule type="duplicateValues" dxfId="3583" priority="2720"/>
    <cfRule type="duplicateValues" dxfId="3582" priority="2719"/>
    <cfRule type="duplicateValues" dxfId="3581" priority="2717"/>
    <cfRule type="duplicateValues" dxfId="3580" priority="2724"/>
    <cfRule type="duplicateValues" dxfId="3579" priority="2725"/>
    <cfRule type="duplicateValues" dxfId="3578" priority="2726"/>
    <cfRule type="duplicateValues" dxfId="3577" priority="2727"/>
    <cfRule type="duplicateValues" dxfId="3576" priority="2728"/>
    <cfRule type="duplicateValues" dxfId="3575" priority="2729"/>
  </conditionalFormatting>
  <conditionalFormatting sqref="C519">
    <cfRule type="duplicateValues" dxfId="3574" priority="235"/>
    <cfRule type="duplicateValues" dxfId="3573" priority="236"/>
  </conditionalFormatting>
  <conditionalFormatting sqref="C520:C521">
    <cfRule type="duplicateValues" dxfId="3572" priority="1574"/>
  </conditionalFormatting>
  <conditionalFormatting sqref="C522">
    <cfRule type="duplicateValues" dxfId="3571" priority="3229"/>
    <cfRule type="duplicateValues" dxfId="3570" priority="3228"/>
    <cfRule type="duplicateValues" dxfId="3569" priority="3235"/>
    <cfRule type="duplicateValues" dxfId="3568" priority="3234"/>
    <cfRule type="duplicateValues" dxfId="3567" priority="3233"/>
    <cfRule type="duplicateValues" dxfId="3566" priority="3232"/>
    <cfRule type="duplicateValues" dxfId="3565" priority="3231"/>
    <cfRule type="duplicateValues" dxfId="3564" priority="3230"/>
  </conditionalFormatting>
  <conditionalFormatting sqref="C523">
    <cfRule type="duplicateValues" dxfId="3563" priority="3440"/>
    <cfRule type="duplicateValues" dxfId="3562" priority="3441"/>
    <cfRule type="duplicateValues" dxfId="3561" priority="3442"/>
    <cfRule type="duplicateValues" dxfId="3560" priority="3439"/>
    <cfRule type="duplicateValues" dxfId="3559" priority="3438"/>
    <cfRule type="duplicateValues" dxfId="3558" priority="3437"/>
  </conditionalFormatting>
  <conditionalFormatting sqref="C524">
    <cfRule type="duplicateValues" dxfId="3557" priority="2495"/>
    <cfRule type="duplicateValues" dxfId="3556" priority="2494"/>
  </conditionalFormatting>
  <conditionalFormatting sqref="C526:C528">
    <cfRule type="duplicateValues" dxfId="3555" priority="1003"/>
    <cfRule type="duplicateValues" dxfId="3554" priority="1002"/>
    <cfRule type="duplicateValues" dxfId="3553" priority="1001"/>
    <cfRule type="duplicateValues" dxfId="3552" priority="1000"/>
    <cfRule type="duplicateValues" dxfId="3551" priority="999"/>
    <cfRule type="duplicateValues" dxfId="3550" priority="998"/>
    <cfRule type="duplicateValues" dxfId="3549" priority="997"/>
    <cfRule type="duplicateValues" dxfId="3548" priority="996"/>
    <cfRule type="duplicateValues" dxfId="3547" priority="995"/>
    <cfRule type="duplicateValues" dxfId="3546" priority="994"/>
    <cfRule type="duplicateValues" dxfId="3545" priority="993"/>
    <cfRule type="duplicateValues" dxfId="3544" priority="992"/>
    <cfRule type="duplicateValues" dxfId="3543" priority="991"/>
    <cfRule type="duplicateValues" dxfId="3542" priority="990"/>
    <cfRule type="duplicateValues" dxfId="3541" priority="988"/>
    <cfRule type="duplicateValues" dxfId="3540" priority="987"/>
    <cfRule type="duplicateValues" dxfId="3539" priority="986"/>
    <cfRule type="duplicateValues" dxfId="3538" priority="985"/>
    <cfRule type="duplicateValues" dxfId="3537" priority="989"/>
  </conditionalFormatting>
  <conditionalFormatting sqref="C529">
    <cfRule type="duplicateValues" dxfId="3536" priority="5566"/>
    <cfRule type="duplicateValues" dxfId="3535" priority="5567"/>
    <cfRule type="duplicateValues" dxfId="3534" priority="5568"/>
    <cfRule type="duplicateValues" dxfId="3533" priority="5569"/>
    <cfRule type="duplicateValues" dxfId="3532" priority="5570"/>
    <cfRule type="duplicateValues" dxfId="3531" priority="5571"/>
    <cfRule type="duplicateValues" dxfId="3530" priority="5572"/>
    <cfRule type="duplicateValues" dxfId="3529" priority="5573"/>
  </conditionalFormatting>
  <conditionalFormatting sqref="C531:C532">
    <cfRule type="duplicateValues" dxfId="3528" priority="1573"/>
  </conditionalFormatting>
  <conditionalFormatting sqref="C533">
    <cfRule type="duplicateValues" dxfId="3527" priority="94"/>
  </conditionalFormatting>
  <conditionalFormatting sqref="C534">
    <cfRule type="duplicateValues" dxfId="3526" priority="1945"/>
    <cfRule type="duplicateValues" dxfId="3525" priority="1944"/>
    <cfRule type="duplicateValues" dxfId="3524" priority="1943"/>
    <cfRule type="duplicateValues" dxfId="3523" priority="1946"/>
  </conditionalFormatting>
  <conditionalFormatting sqref="C537:C541">
    <cfRule type="duplicateValues" dxfId="3522" priority="798"/>
    <cfRule type="duplicateValues" dxfId="3521" priority="799"/>
    <cfRule type="duplicateValues" dxfId="3520" priority="800"/>
    <cfRule type="duplicateValues" dxfId="3519" priority="801"/>
    <cfRule type="duplicateValues" dxfId="3518" priority="787"/>
    <cfRule type="duplicateValues" dxfId="3517" priority="802"/>
    <cfRule type="duplicateValues" dxfId="3516" priority="809"/>
    <cfRule type="duplicateValues" dxfId="3515" priority="808"/>
    <cfRule type="duplicateValues" dxfId="3514" priority="794"/>
    <cfRule type="duplicateValues" dxfId="3513" priority="789"/>
    <cfRule type="duplicateValues" dxfId="3512" priority="790"/>
    <cfRule type="duplicateValues" dxfId="3511" priority="804"/>
    <cfRule type="duplicateValues" dxfId="3510" priority="791"/>
    <cfRule type="duplicateValues" dxfId="3509" priority="792"/>
    <cfRule type="duplicateValues" dxfId="3508" priority="793"/>
    <cfRule type="duplicateValues" dxfId="3507" priority="807"/>
    <cfRule type="duplicateValues" dxfId="3506" priority="795"/>
    <cfRule type="duplicateValues" dxfId="3505" priority="796"/>
    <cfRule type="duplicateValues" dxfId="3504" priority="806"/>
    <cfRule type="duplicateValues" dxfId="3503" priority="805"/>
    <cfRule type="duplicateValues" dxfId="3502" priority="797"/>
    <cfRule type="duplicateValues" dxfId="3501" priority="803"/>
    <cfRule type="duplicateValues" dxfId="3500" priority="810"/>
    <cfRule type="duplicateValues" dxfId="3499" priority="813"/>
    <cfRule type="duplicateValues" dxfId="3498" priority="812"/>
    <cfRule type="duplicateValues" dxfId="3497" priority="811"/>
    <cfRule type="duplicateValues" dxfId="3496" priority="786"/>
    <cfRule type="duplicateValues" dxfId="3495" priority="785"/>
    <cfRule type="duplicateValues" dxfId="3494" priority="788"/>
  </conditionalFormatting>
  <conditionalFormatting sqref="C542:C543">
    <cfRule type="duplicateValues" dxfId="3493" priority="1136"/>
    <cfRule type="duplicateValues" dxfId="3492" priority="1135"/>
    <cfRule type="duplicateValues" dxfId="3491" priority="1134"/>
    <cfRule type="duplicateValues" dxfId="3490" priority="1133"/>
    <cfRule type="duplicateValues" dxfId="3489" priority="1132"/>
  </conditionalFormatting>
  <conditionalFormatting sqref="C544">
    <cfRule type="duplicateValues" dxfId="3488" priority="1008"/>
    <cfRule type="duplicateValues" dxfId="3487" priority="1007"/>
    <cfRule type="duplicateValues" dxfId="3486" priority="1006"/>
    <cfRule type="duplicateValues" dxfId="3485" priority="1005"/>
    <cfRule type="duplicateValues" dxfId="3484" priority="1004"/>
  </conditionalFormatting>
  <conditionalFormatting sqref="C545">
    <cfRule type="duplicateValues" dxfId="3483" priority="706"/>
    <cfRule type="duplicateValues" dxfId="3482" priority="705"/>
    <cfRule type="duplicateValues" dxfId="3481" priority="704"/>
    <cfRule type="duplicateValues" dxfId="3480" priority="703"/>
    <cfRule type="duplicateValues" dxfId="3479" priority="707"/>
    <cfRule type="duplicateValues" dxfId="3478" priority="700"/>
    <cfRule type="duplicateValues" dxfId="3477" priority="699"/>
    <cfRule type="duplicateValues" dxfId="3476" priority="698"/>
    <cfRule type="duplicateValues" dxfId="3475" priority="695"/>
    <cfRule type="duplicateValues" dxfId="3474" priority="701"/>
    <cfRule type="duplicateValues" dxfId="3473" priority="696"/>
    <cfRule type="duplicateValues" dxfId="3472" priority="697"/>
    <cfRule type="duplicateValues" dxfId="3471" priority="712"/>
    <cfRule type="duplicateValues" dxfId="3470" priority="719"/>
    <cfRule type="duplicateValues" dxfId="3469" priority="702"/>
    <cfRule type="duplicateValues" dxfId="3468" priority="691"/>
    <cfRule type="duplicateValues" dxfId="3467" priority="692"/>
    <cfRule type="duplicateValues" dxfId="3466" priority="718"/>
    <cfRule type="duplicateValues" dxfId="3465" priority="717"/>
    <cfRule type="duplicateValues" dxfId="3464" priority="716"/>
    <cfRule type="duplicateValues" dxfId="3463" priority="715"/>
    <cfRule type="duplicateValues" dxfId="3462" priority="714"/>
    <cfRule type="duplicateValues" dxfId="3461" priority="713"/>
    <cfRule type="duplicateValues" dxfId="3460" priority="711"/>
    <cfRule type="duplicateValues" dxfId="3459" priority="710"/>
    <cfRule type="duplicateValues" dxfId="3458" priority="709"/>
    <cfRule type="duplicateValues" dxfId="3457" priority="708"/>
    <cfRule type="duplicateValues" dxfId="3456" priority="693"/>
    <cfRule type="duplicateValues" dxfId="3455" priority="694"/>
  </conditionalFormatting>
  <conditionalFormatting sqref="C546">
    <cfRule type="duplicateValues" dxfId="3454" priority="1160"/>
  </conditionalFormatting>
  <conditionalFormatting sqref="C546:C551 C562:C567 C553:C556 C572:C573 C575:C576">
    <cfRule type="duplicateValues" dxfId="3453" priority="1137"/>
  </conditionalFormatting>
  <conditionalFormatting sqref="C547 C573 C549:C550 C553:C555 C562 C575:C576">
    <cfRule type="duplicateValues" dxfId="3452" priority="1313"/>
  </conditionalFormatting>
  <conditionalFormatting sqref="C547 C573 C549:C550 C553:C556 C562 C575:C576">
    <cfRule type="duplicateValues" dxfId="3451" priority="1317"/>
  </conditionalFormatting>
  <conditionalFormatting sqref="C547">
    <cfRule type="duplicateValues" dxfId="3450" priority="1306"/>
    <cfRule type="duplicateValues" dxfId="3449" priority="1316"/>
  </conditionalFormatting>
  <conditionalFormatting sqref="C548">
    <cfRule type="duplicateValues" dxfId="3448" priority="1159"/>
    <cfRule type="duplicateValues" dxfId="3447" priority="1158"/>
  </conditionalFormatting>
  <conditionalFormatting sqref="C549">
    <cfRule type="duplicateValues" dxfId="3446" priority="1273"/>
    <cfRule type="duplicateValues" dxfId="3445" priority="1272"/>
    <cfRule type="duplicateValues" dxfId="3444" priority="1271"/>
    <cfRule type="duplicateValues" dxfId="3443" priority="1270"/>
    <cfRule type="duplicateValues" dxfId="3442" priority="1269"/>
    <cfRule type="duplicateValues" dxfId="3441" priority="1268"/>
    <cfRule type="duplicateValues" dxfId="3440" priority="1267"/>
    <cfRule type="duplicateValues" dxfId="3439" priority="1266"/>
    <cfRule type="duplicateValues" dxfId="3438" priority="1265"/>
    <cfRule type="duplicateValues" dxfId="3437" priority="1264"/>
    <cfRule type="duplicateValues" dxfId="3436" priority="1263"/>
    <cfRule type="duplicateValues" dxfId="3435" priority="1262"/>
    <cfRule type="duplicateValues" dxfId="3434" priority="1277"/>
    <cfRule type="duplicateValues" dxfId="3433" priority="1276"/>
    <cfRule type="duplicateValues" dxfId="3432" priority="1275"/>
    <cfRule type="duplicateValues" dxfId="3431" priority="1274"/>
  </conditionalFormatting>
  <conditionalFormatting sqref="C550 C547 C562">
    <cfRule type="duplicateValues" dxfId="3430" priority="1308"/>
  </conditionalFormatting>
  <conditionalFormatting sqref="C550 C547">
    <cfRule type="duplicateValues" dxfId="3429" priority="1307"/>
  </conditionalFormatting>
  <conditionalFormatting sqref="C550 C575 C547 C562">
    <cfRule type="duplicateValues" dxfId="3428" priority="1309"/>
  </conditionalFormatting>
  <conditionalFormatting sqref="C551">
    <cfRule type="duplicateValues" dxfId="3427" priority="1141"/>
    <cfRule type="duplicateValues" dxfId="3426" priority="1152"/>
    <cfRule type="duplicateValues" dxfId="3425" priority="1151"/>
    <cfRule type="duplicateValues" dxfId="3424" priority="1150"/>
    <cfRule type="duplicateValues" dxfId="3423" priority="1149"/>
    <cfRule type="duplicateValues" dxfId="3422" priority="1148"/>
    <cfRule type="duplicateValues" dxfId="3421" priority="1147"/>
    <cfRule type="duplicateValues" dxfId="3420" priority="1146"/>
    <cfRule type="duplicateValues" dxfId="3419" priority="1145"/>
    <cfRule type="duplicateValues" dxfId="3418" priority="1144"/>
    <cfRule type="duplicateValues" dxfId="3417" priority="1143"/>
    <cfRule type="duplicateValues" dxfId="3416" priority="1142"/>
    <cfRule type="duplicateValues" dxfId="3415" priority="1140"/>
    <cfRule type="duplicateValues" dxfId="3414" priority="1139"/>
    <cfRule type="duplicateValues" dxfId="3413" priority="1138"/>
    <cfRule type="duplicateValues" dxfId="3412" priority="1154"/>
    <cfRule type="duplicateValues" dxfId="3411" priority="1153"/>
    <cfRule type="duplicateValues" dxfId="3410" priority="1155"/>
    <cfRule type="duplicateValues" dxfId="3409" priority="1156"/>
    <cfRule type="duplicateValues" dxfId="3408" priority="1157"/>
  </conditionalFormatting>
  <conditionalFormatting sqref="C552">
    <cfRule type="duplicateValues" dxfId="3407" priority="335"/>
    <cfRule type="duplicateValues" dxfId="3406" priority="337"/>
    <cfRule type="duplicateValues" dxfId="3405" priority="336"/>
    <cfRule type="duplicateValues" dxfId="3404" priority="334"/>
  </conditionalFormatting>
  <conditionalFormatting sqref="C553">
    <cfRule type="duplicateValues" dxfId="3403" priority="1256"/>
    <cfRule type="duplicateValues" dxfId="3402" priority="1257"/>
    <cfRule type="duplicateValues" dxfId="3401" priority="1253"/>
    <cfRule type="duplicateValues" dxfId="3400" priority="1259"/>
    <cfRule type="duplicateValues" dxfId="3399" priority="1260"/>
    <cfRule type="duplicateValues" dxfId="3398" priority="1250"/>
    <cfRule type="duplicateValues" dxfId="3397" priority="1249"/>
    <cfRule type="duplicateValues" dxfId="3396" priority="1254"/>
    <cfRule type="duplicateValues" dxfId="3395" priority="1261"/>
    <cfRule type="duplicateValues" dxfId="3394" priority="1247"/>
    <cfRule type="duplicateValues" dxfId="3393" priority="1246"/>
    <cfRule type="duplicateValues" dxfId="3392" priority="1248"/>
    <cfRule type="duplicateValues" dxfId="3391" priority="1251"/>
    <cfRule type="duplicateValues" dxfId="3390" priority="1252"/>
    <cfRule type="duplicateValues" dxfId="3389" priority="1255"/>
    <cfRule type="duplicateValues" dxfId="3388" priority="1258"/>
  </conditionalFormatting>
  <conditionalFormatting sqref="C554:C555 C550 C575:C576 C547 C562">
    <cfRule type="duplicateValues" dxfId="3387" priority="1312"/>
  </conditionalFormatting>
  <conditionalFormatting sqref="C554:C555">
    <cfRule type="duplicateValues" dxfId="3386" priority="1282"/>
    <cfRule type="duplicateValues" dxfId="3385" priority="1283"/>
    <cfRule type="duplicateValues" dxfId="3384" priority="1284"/>
    <cfRule type="duplicateValues" dxfId="3383" priority="1288"/>
    <cfRule type="duplicateValues" dxfId="3382" priority="1285"/>
    <cfRule type="duplicateValues" dxfId="3381" priority="1287"/>
    <cfRule type="duplicateValues" dxfId="3380" priority="1296"/>
    <cfRule type="duplicateValues" dxfId="3379" priority="1286"/>
    <cfRule type="duplicateValues" dxfId="3378" priority="1295"/>
    <cfRule type="duplicateValues" dxfId="3377" priority="1294"/>
    <cfRule type="duplicateValues" dxfId="3376" priority="1293"/>
    <cfRule type="duplicateValues" dxfId="3375" priority="1292"/>
    <cfRule type="duplicateValues" dxfId="3374" priority="1291"/>
    <cfRule type="duplicateValues" dxfId="3373" priority="1290"/>
    <cfRule type="duplicateValues" dxfId="3372" priority="1289"/>
  </conditionalFormatting>
  <conditionalFormatting sqref="C556">
    <cfRule type="duplicateValues" dxfId="3371" priority="1211"/>
    <cfRule type="duplicateValues" dxfId="3370" priority="1217"/>
    <cfRule type="duplicateValues" dxfId="3369" priority="1208"/>
    <cfRule type="duplicateValues" dxfId="3368" priority="1215"/>
    <cfRule type="duplicateValues" dxfId="3367" priority="1213"/>
    <cfRule type="duplicateValues" dxfId="3366" priority="1218"/>
    <cfRule type="duplicateValues" dxfId="3365" priority="1214"/>
    <cfRule type="duplicateValues" dxfId="3364" priority="1209"/>
    <cfRule type="duplicateValues" dxfId="3363" priority="1204"/>
    <cfRule type="duplicateValues" dxfId="3362" priority="1216"/>
    <cfRule type="duplicateValues" dxfId="3361" priority="1207"/>
    <cfRule type="duplicateValues" dxfId="3360" priority="1219"/>
    <cfRule type="duplicateValues" dxfId="3359" priority="1205"/>
    <cfRule type="duplicateValues" dxfId="3358" priority="1206"/>
    <cfRule type="duplicateValues" dxfId="3357" priority="1210"/>
    <cfRule type="duplicateValues" dxfId="3356" priority="1212"/>
    <cfRule type="duplicateValues" dxfId="3355" priority="1220"/>
    <cfRule type="duplicateValues" dxfId="3354" priority="1201"/>
    <cfRule type="duplicateValues" dxfId="3353" priority="1202"/>
    <cfRule type="duplicateValues" dxfId="3352" priority="1203"/>
  </conditionalFormatting>
  <conditionalFormatting sqref="C557:C558">
    <cfRule type="duplicateValues" dxfId="3351" priority="467"/>
  </conditionalFormatting>
  <conditionalFormatting sqref="C559:C561">
    <cfRule type="duplicateValues" dxfId="3350" priority="629"/>
  </conditionalFormatting>
  <conditionalFormatting sqref="C562">
    <cfRule type="duplicateValues" dxfId="3349" priority="1310"/>
  </conditionalFormatting>
  <conditionalFormatting sqref="C563:C565">
    <cfRule type="duplicateValues" dxfId="3348" priority="1193"/>
    <cfRule type="duplicateValues" dxfId="3347" priority="1192"/>
    <cfRule type="duplicateValues" dxfId="3346" priority="1197"/>
    <cfRule type="duplicateValues" dxfId="3345" priority="1191"/>
    <cfRule type="duplicateValues" dxfId="3344" priority="1194"/>
    <cfRule type="duplicateValues" dxfId="3343" priority="1189"/>
    <cfRule type="duplicateValues" dxfId="3342" priority="1198"/>
    <cfRule type="duplicateValues" dxfId="3341" priority="1199"/>
    <cfRule type="duplicateValues" dxfId="3340" priority="1188"/>
    <cfRule type="duplicateValues" dxfId="3339" priority="1200"/>
    <cfRule type="duplicateValues" dxfId="3338" priority="1196"/>
    <cfRule type="duplicateValues" dxfId="3337" priority="1190"/>
    <cfRule type="duplicateValues" dxfId="3336" priority="1195"/>
  </conditionalFormatting>
  <conditionalFormatting sqref="C566">
    <cfRule type="duplicateValues" dxfId="3335" priority="1173"/>
  </conditionalFormatting>
  <conditionalFormatting sqref="C567 C573 C547 C549:C550 C553:C556 C562:C565 C575:C576">
    <cfRule type="duplicateValues" dxfId="3334" priority="1325"/>
  </conditionalFormatting>
  <conditionalFormatting sqref="C567">
    <cfRule type="duplicateValues" dxfId="3333" priority="1180"/>
    <cfRule type="duplicateValues" dxfId="3332" priority="1181"/>
    <cfRule type="duplicateValues" dxfId="3331" priority="1179"/>
    <cfRule type="duplicateValues" dxfId="3330" priority="1178"/>
  </conditionalFormatting>
  <conditionalFormatting sqref="C568:C571">
    <cfRule type="duplicateValues" dxfId="3329" priority="311"/>
    <cfRule type="duplicateValues" dxfId="3328" priority="312"/>
    <cfRule type="duplicateValues" dxfId="3327" priority="310"/>
    <cfRule type="duplicateValues" dxfId="3326" priority="309"/>
    <cfRule type="duplicateValues" dxfId="3325" priority="308"/>
  </conditionalFormatting>
  <conditionalFormatting sqref="C572">
    <cfRule type="duplicateValues" dxfId="3324" priority="1168"/>
    <cfRule type="duplicateValues" dxfId="3323" priority="1162"/>
    <cfRule type="duplicateValues" dxfId="3322" priority="1166"/>
    <cfRule type="duplicateValues" dxfId="3321" priority="1165"/>
    <cfRule type="duplicateValues" dxfId="3320" priority="1164"/>
    <cfRule type="duplicateValues" dxfId="3319" priority="1163"/>
    <cfRule type="duplicateValues" dxfId="3318" priority="1161"/>
    <cfRule type="duplicateValues" dxfId="3317" priority="1167"/>
  </conditionalFormatting>
  <conditionalFormatting sqref="C573 C547 C549:C550 C553:C556 C562:C565 C575:C576">
    <cfRule type="duplicateValues" dxfId="3316" priority="1320"/>
    <cfRule type="duplicateValues" dxfId="3315" priority="1322"/>
    <cfRule type="duplicateValues" dxfId="3314" priority="1323"/>
  </conditionalFormatting>
  <conditionalFormatting sqref="C573">
    <cfRule type="duplicateValues" dxfId="3313" priority="1244"/>
    <cfRule type="duplicateValues" dxfId="3312" priority="1241"/>
    <cfRule type="duplicateValues" dxfId="3311" priority="1242"/>
    <cfRule type="duplicateValues" dxfId="3310" priority="1245"/>
    <cfRule type="duplicateValues" dxfId="3309" priority="1243"/>
    <cfRule type="duplicateValues" dxfId="3308" priority="1324"/>
  </conditionalFormatting>
  <conditionalFormatting sqref="C574">
    <cfRule type="duplicateValues" dxfId="3307" priority="265"/>
    <cfRule type="duplicateValues" dxfId="3306" priority="266"/>
    <cfRule type="duplicateValues" dxfId="3305" priority="264"/>
  </conditionalFormatting>
  <conditionalFormatting sqref="C576">
    <cfRule type="duplicateValues" dxfId="3304" priority="1278"/>
    <cfRule type="duplicateValues" dxfId="3303" priority="1281"/>
    <cfRule type="duplicateValues" dxfId="3302" priority="1280"/>
    <cfRule type="duplicateValues" dxfId="3301" priority="1279"/>
  </conditionalFormatting>
  <conditionalFormatting sqref="C577">
    <cfRule type="duplicateValues" dxfId="3300" priority="1107"/>
    <cfRule type="duplicateValues" dxfId="3299" priority="1108"/>
    <cfRule type="duplicateValues" dxfId="3298" priority="1109"/>
    <cfRule type="duplicateValues" dxfId="3297" priority="1110"/>
  </conditionalFormatting>
  <conditionalFormatting sqref="C578:C1048576 C1:C4 C12:C14 C525 C432:C436 C361 C260 C408 C383 C504 C529:C530 C501 C84 C423 C494:C495 C303 C336 C86:C89 C535:C536 C438 C75 C77:C79 C233 C22:C23 C419:C420 C125:C128 C240:C246 C58 C191 C186:C187 C108 C10 C130:C132 C118 C63:C64 C91:C102 C121 C27 C136 C138 C235:C236 C81 C36 C363 C143:C144 C497:C498 C38 C6 C45:C47 C274 C42:C43 C270 C264 C50:C52 C54">
    <cfRule type="duplicateValues" dxfId="3296" priority="3489"/>
  </conditionalFormatting>
  <conditionalFormatting sqref="C578:C1048576 C1:C4 C125:C126 C130:C132 C138 C233 C270 C336 C240:C246 C303 C361 C91:C102 C64 C54 C47 C58 C501 C494:C495 C75 C260 C86:C89 C128 C22 C51 C78 C434:C436 C191 C408 C81 C535:C536 C432 C525 C504 C529:C530 C84 C419:C420 C235:C236 C36 C363 C143:C144 C497:C498 C38 C6 C274">
    <cfRule type="duplicateValues" dxfId="3295" priority="5251"/>
  </conditionalFormatting>
  <conditionalFormatting sqref="C578:C1048576 C361 C1:C3 C191 C432 C494:C495 C101 C22 C501 C504 C144 C303 C530 C54 C408 C525 C233 C270 C336 C240:C246 C260 C434:C435 C535:C536 C419:C420 C235:C236 C363 C497:C498 C274">
    <cfRule type="duplicateValues" dxfId="3294" priority="6045"/>
  </conditionalFormatting>
  <conditionalFormatting sqref="C578:C1048576 C361 C1:C4 C260 C22:C23 C51:C52 C270 C78 C434:C436 C12 C501 C494:C495 C191 C408 C233 C46:C47 C81 C535:C536 C64 C75 C432 C303 C423 C525 C504 C529:C530 C84 C336 C86:C89 C419:C420 C125:C128 C240:C246 C58 C186:C187 C10 C130:C132 C118 C91:C102 C121 C136 C138 C235:C236 C36 C363 C143:C144 C497:C498 C38 C6 C274 C42:C43 C264 C54">
    <cfRule type="duplicateValues" dxfId="3293" priority="4239"/>
  </conditionalFormatting>
  <conditionalFormatting sqref="C578:C1048576 C397:C398 C1:C4 C478 C535:C536 C336 C186:C187 C75 C67 C361 C508:C510 C415:C417 C300:C301 C36 C363 C178:C179 C22:C23 C351 C494:C495 C258:C260 C143:C144 C366 C115 C369:C370 C515 C522:C525 C58 C191 C358 C401:C405 C419:C450 C500:C502 C108 C61 C121 C135:C136 C27 C529:C530 C353 C383 C77:C102 C12:C14 C117:C118 C497:C498 C138 C303 C233:C246 C38 C130:C132 C6 C45:C47 C71:C72 C408 C504 C274 C356 C42:C43 C378:C379 C270 C517:C518 C264 C482 C10 C50:C52 C485:C487 C63:C64 C54 C124:C128 C381">
    <cfRule type="duplicateValues" dxfId="3292" priority="2004"/>
  </conditionalFormatting>
  <conditionalFormatting sqref="C578:C1048576 C494:C495 C1:C3 C361 C191 C432 C101 C22 C501 C504 C144 C303 C530 C54 C408 C525 C233 C270 C336 C240:C246 C260 C434:C435 C535:C536 C419:C420 C235:C236 C363 C497:C498 C274">
    <cfRule type="duplicateValues" dxfId="3291" priority="6051"/>
  </conditionalFormatting>
  <conditionalFormatting sqref="C578:C1048576 C504 C1:C4 C130:C132 C115 C84:C102 C235:C246 C336 C432:C436 C501 C61 C233 C358 C444:C449 C438 C63:C64 C124:C128 C81 C517:C518 C351 C529:C530 C383 C75 C397:C398 C478 C535:C536 C186:C187 C67 C361 C508:C510 C415:C417 C300:C301 C36 C363 C178:C179 C22:C23 C494:C495 C258:C260 C143:C144 C366 C369:C370 C522:C525 C58 C191 C401:C405 C419:C428 C108 C121 C135:C136 C27 C77:C79 C12:C14 C117:C118 C497:C498 C138 C303 C38 C6 C45:C47 C408 C274 C42:C43 C270 C264 C482 C10 C50:C52 C485:C487 C54">
    <cfRule type="duplicateValues" dxfId="3290" priority="2190"/>
  </conditionalFormatting>
  <conditionalFormatting sqref="C578:C1048576 C525 C1:C3 C54 C22 C101 C144 C408 C233 C270 C336 C240:C246 C303 C361 C501 C494:C495 C260 C434:C436 C191 C535:C536 C432 C504 C529:C530 C419:C420 C235:C236 C363 C497:C498 C274">
    <cfRule type="duplicateValues" dxfId="3289" priority="5429"/>
  </conditionalFormatting>
  <conditionalFormatting sqref="C578:C1048576 C530 C494:C495 C1:C3 C361 C101 C22 C501 C504 C144 C303 C191 C54 C408 C525 C233 C270 C336 C240:C246 C260 C434:C435 C535:C536 C432 C419:C420 C235:C236 C363 C497:C498 C274">
    <cfRule type="duplicateValues" dxfId="3288" priority="5972"/>
  </conditionalFormatting>
  <conditionalFormatting sqref="C578:C1048576 C536 C1:C2">
    <cfRule type="duplicateValues" dxfId="3287" priority="7560"/>
  </conditionalFormatting>
  <conditionalFormatting sqref="C578:C1048576 C536 C1:C3 C54 C144 C22 C336 C101 C495">
    <cfRule type="duplicateValues" dxfId="3286" priority="7095"/>
  </conditionalFormatting>
  <conditionalFormatting sqref="C578:C1048576 C536 C336 C1:C3 C54 C22 C144 C101 C495">
    <cfRule type="duplicateValues" dxfId="3285" priority="7257"/>
  </conditionalFormatting>
  <conditionalFormatting sqref="C578:C1048576 AJ1:AS1048576 C525 C495 C1:C3 C336 C501 C504 C270 C54 C101 C22 C144 C274 C242:C244 C246 C191 C303 C530 C233 C240 C535:C536 C235:C236 C497:C498">
    <cfRule type="duplicateValues" dxfId="3284" priority="6419"/>
  </conditionalFormatting>
  <conditionalFormatting sqref="C578:C1048576 AJ1:AS1048576 C530 C1:C3 C144 C191 C101 C494:C495 C54 C22 C408 C525 C233 C270 C336 C240:C246 C303 C361 C501 C260 C434:C436 C535:C536 C432 C504 C419:C420 C235:C236 C363 C497:C498 C274">
    <cfRule type="duplicateValues" dxfId="3283" priority="5723"/>
  </conditionalFormatting>
  <conditionalFormatting sqref="F107">
    <cfRule type="duplicateValues" dxfId="3282" priority="4319"/>
    <cfRule type="duplicateValues" dxfId="3281" priority="4324"/>
    <cfRule type="duplicateValues" dxfId="3280" priority="4325"/>
    <cfRule type="duplicateValues" dxfId="3279" priority="4315"/>
    <cfRule type="duplicateValues" dxfId="3278" priority="4323"/>
    <cfRule type="duplicateValues" dxfId="3277" priority="4318"/>
    <cfRule type="duplicateValues" dxfId="3276" priority="4322"/>
    <cfRule type="duplicateValues" dxfId="3275" priority="4321"/>
    <cfRule type="duplicateValues" dxfId="3274" priority="4326"/>
    <cfRule type="duplicateValues" dxfId="3273" priority="4327"/>
    <cfRule type="duplicateValues" dxfId="3272" priority="4328"/>
    <cfRule type="duplicateValues" dxfId="3271" priority="4320"/>
    <cfRule type="duplicateValues" dxfId="3270" priority="4316"/>
    <cfRule type="duplicateValues" dxfId="3269" priority="4317"/>
  </conditionalFormatting>
  <pageMargins left="0.16" right="0.17" top="0.75" bottom="0.75" header="0.3" footer="0.3"/>
  <pageSetup paperSize="9" scale="1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578"/>
  <sheetViews>
    <sheetView zoomScale="115" zoomScaleNormal="115" workbookViewId="0">
      <pane xSplit="4" ySplit="3" topLeftCell="E316" activePane="bottomRight" state="frozen"/>
      <selection activeCell="C126" sqref="C126"/>
      <selection pane="topRight" activeCell="C126" sqref="C126"/>
      <selection pane="bottomLeft" activeCell="C126" sqref="C126"/>
      <selection pane="bottomRight" activeCell="B329" sqref="B329"/>
    </sheetView>
  </sheetViews>
  <sheetFormatPr defaultRowHeight="15" x14ac:dyDescent="0.25"/>
  <cols>
    <col min="1" max="1" width="5.85546875" style="32" customWidth="1"/>
    <col min="2" max="2" width="52.42578125" style="32" bestFit="1" customWidth="1"/>
    <col min="3" max="3" width="24.5703125" style="32" bestFit="1" customWidth="1"/>
    <col min="4" max="4" width="13.28515625" style="32" bestFit="1" customWidth="1"/>
    <col min="5" max="5" width="10.140625" style="31" bestFit="1" customWidth="1"/>
    <col min="6" max="6" width="6.5703125" style="31" bestFit="1" customWidth="1"/>
    <col min="7" max="17" width="10.140625" style="31" bestFit="1" customWidth="1"/>
    <col min="18" max="20" width="7.5703125" style="31" bestFit="1" customWidth="1"/>
    <col min="21" max="35" width="10.140625" style="31" bestFit="1" customWidth="1"/>
    <col min="36" max="36" width="7.28515625" style="32" customWidth="1"/>
    <col min="37" max="16384" width="9.140625" style="32"/>
  </cols>
  <sheetData>
    <row r="1" spans="1:35" ht="15.75" x14ac:dyDescent="0.25">
      <c r="A1" s="192" t="s">
        <v>209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4"/>
    </row>
    <row r="2" spans="1:35" s="47" customFormat="1" ht="30" x14ac:dyDescent="0.25">
      <c r="A2" s="45" t="s">
        <v>31</v>
      </c>
      <c r="B2" s="45" t="s">
        <v>0</v>
      </c>
      <c r="C2" s="45" t="s">
        <v>90</v>
      </c>
      <c r="D2" s="45" t="s">
        <v>26</v>
      </c>
      <c r="E2" s="46">
        <v>1</v>
      </c>
      <c r="F2" s="46">
        <v>2</v>
      </c>
      <c r="G2" s="46">
        <v>3</v>
      </c>
      <c r="H2" s="46">
        <v>4</v>
      </c>
      <c r="I2" s="46">
        <v>5</v>
      </c>
      <c r="J2" s="46">
        <v>6</v>
      </c>
      <c r="K2" s="46">
        <v>7</v>
      </c>
      <c r="L2" s="46">
        <v>8</v>
      </c>
      <c r="M2" s="46">
        <v>9</v>
      </c>
      <c r="N2" s="46">
        <v>10</v>
      </c>
      <c r="O2" s="46">
        <v>11</v>
      </c>
      <c r="P2" s="46">
        <v>12</v>
      </c>
      <c r="Q2" s="46">
        <v>13</v>
      </c>
      <c r="R2" s="46">
        <v>14</v>
      </c>
      <c r="S2" s="46">
        <v>15</v>
      </c>
      <c r="T2" s="46">
        <v>16</v>
      </c>
      <c r="U2" s="46">
        <v>17</v>
      </c>
      <c r="V2" s="46">
        <v>18</v>
      </c>
      <c r="W2" s="46">
        <v>19</v>
      </c>
      <c r="X2" s="46">
        <v>20</v>
      </c>
      <c r="Y2" s="46">
        <v>21</v>
      </c>
      <c r="Z2" s="46">
        <v>22</v>
      </c>
      <c r="AA2" s="46">
        <v>23</v>
      </c>
      <c r="AB2" s="46">
        <v>24</v>
      </c>
      <c r="AC2" s="46">
        <v>25</v>
      </c>
      <c r="AD2" s="46">
        <v>26</v>
      </c>
      <c r="AE2" s="46">
        <v>27</v>
      </c>
      <c r="AF2" s="46">
        <v>28</v>
      </c>
      <c r="AG2" s="46">
        <v>29</v>
      </c>
      <c r="AH2" s="46">
        <v>30</v>
      </c>
      <c r="AI2" s="46">
        <v>31</v>
      </c>
    </row>
    <row r="3" spans="1:35" s="47" customFormat="1" x14ac:dyDescent="0.25">
      <c r="A3" s="141" t="s">
        <v>140</v>
      </c>
      <c r="B3" s="142" t="s">
        <v>120</v>
      </c>
      <c r="C3" s="141" t="s">
        <v>141</v>
      </c>
      <c r="D3" s="148">
        <f t="shared" ref="D3:AI3" si="0">SUM(D4:D21)</f>
        <v>755794</v>
      </c>
      <c r="E3" s="148">
        <f t="shared" si="0"/>
        <v>0</v>
      </c>
      <c r="F3" s="148">
        <f t="shared" si="0"/>
        <v>0</v>
      </c>
      <c r="G3" s="148">
        <f t="shared" si="0"/>
        <v>0</v>
      </c>
      <c r="H3" s="148">
        <f t="shared" si="0"/>
        <v>35000</v>
      </c>
      <c r="I3" s="148">
        <f t="shared" si="0"/>
        <v>0</v>
      </c>
      <c r="J3" s="148">
        <f t="shared" si="0"/>
        <v>500</v>
      </c>
      <c r="K3" s="148">
        <f t="shared" si="0"/>
        <v>11000</v>
      </c>
      <c r="L3" s="148">
        <f t="shared" si="0"/>
        <v>20000</v>
      </c>
      <c r="M3" s="148">
        <f t="shared" si="0"/>
        <v>30000</v>
      </c>
      <c r="N3" s="148">
        <f t="shared" si="0"/>
        <v>35500</v>
      </c>
      <c r="O3" s="148">
        <f t="shared" si="0"/>
        <v>19000</v>
      </c>
      <c r="P3" s="148">
        <f t="shared" si="0"/>
        <v>20000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 t="shared" si="0"/>
        <v>0</v>
      </c>
      <c r="U3" s="148">
        <f t="shared" si="0"/>
        <v>38500</v>
      </c>
      <c r="V3" s="148">
        <f t="shared" si="0"/>
        <v>37090</v>
      </c>
      <c r="W3" s="148">
        <f t="shared" si="0"/>
        <v>4364</v>
      </c>
      <c r="X3" s="148">
        <f t="shared" si="0"/>
        <v>20000</v>
      </c>
      <c r="Y3" s="148">
        <f t="shared" si="0"/>
        <v>40500</v>
      </c>
      <c r="Z3" s="148">
        <f t="shared" si="0"/>
        <v>65000</v>
      </c>
      <c r="AA3" s="148">
        <f t="shared" si="0"/>
        <v>30000</v>
      </c>
      <c r="AB3" s="148">
        <f t="shared" si="0"/>
        <v>58340</v>
      </c>
      <c r="AC3" s="148">
        <f t="shared" si="0"/>
        <v>60000</v>
      </c>
      <c r="AD3" s="148">
        <f t="shared" si="0"/>
        <v>70000</v>
      </c>
      <c r="AE3" s="148">
        <f t="shared" si="0"/>
        <v>50000</v>
      </c>
      <c r="AF3" s="148">
        <f t="shared" si="0"/>
        <v>70000</v>
      </c>
      <c r="AG3" s="148">
        <f t="shared" si="0"/>
        <v>30000</v>
      </c>
      <c r="AH3" s="148">
        <f t="shared" si="0"/>
        <v>11000</v>
      </c>
      <c r="AI3" s="148">
        <f t="shared" si="0"/>
        <v>0</v>
      </c>
    </row>
    <row r="4" spans="1:35" ht="13.5" customHeight="1" x14ac:dyDescent="0.25">
      <c r="A4" s="48">
        <v>1</v>
      </c>
      <c r="B4" s="166" t="s">
        <v>92</v>
      </c>
      <c r="C4" s="166" t="s">
        <v>91</v>
      </c>
      <c r="D4" s="150">
        <f t="shared" ref="D4:D21" si="1">SUM(E4:AI4)</f>
        <v>106500</v>
      </c>
      <c r="E4" s="155"/>
      <c r="F4" s="48"/>
      <c r="G4" s="35"/>
      <c r="H4" s="35">
        <v>30000</v>
      </c>
      <c r="I4" s="35"/>
      <c r="J4" s="35"/>
      <c r="K4" s="35"/>
      <c r="L4" s="48">
        <v>20000</v>
      </c>
      <c r="M4" s="48"/>
      <c r="N4" s="48"/>
      <c r="O4" s="48"/>
      <c r="P4" s="48"/>
      <c r="Q4" s="48"/>
      <c r="R4" s="48"/>
      <c r="S4" s="40"/>
      <c r="T4" s="40"/>
      <c r="U4" s="40">
        <v>10000</v>
      </c>
      <c r="V4" s="48"/>
      <c r="W4" s="48"/>
      <c r="X4" s="48"/>
      <c r="Y4" s="48"/>
      <c r="Z4" s="48"/>
      <c r="AA4" s="48">
        <v>30000</v>
      </c>
      <c r="AB4" s="169">
        <v>16500</v>
      </c>
      <c r="AC4" s="48"/>
      <c r="AD4" s="48"/>
      <c r="AE4" s="48"/>
      <c r="AF4" s="48"/>
      <c r="AG4" s="48"/>
      <c r="AH4" s="48"/>
      <c r="AI4" s="48"/>
    </row>
    <row r="5" spans="1:35" ht="13.5" customHeight="1" x14ac:dyDescent="0.25">
      <c r="A5" s="48">
        <v>2</v>
      </c>
      <c r="B5" s="166" t="s">
        <v>824</v>
      </c>
      <c r="C5" s="166" t="s">
        <v>823</v>
      </c>
      <c r="D5" s="150">
        <f t="shared" si="1"/>
        <v>10000</v>
      </c>
      <c r="E5" s="48"/>
      <c r="F5" s="48"/>
      <c r="G5" s="35"/>
      <c r="H5" s="35">
        <v>5000</v>
      </c>
      <c r="I5" s="35"/>
      <c r="J5" s="35"/>
      <c r="K5" s="35"/>
      <c r="L5" s="35"/>
      <c r="M5" s="48"/>
      <c r="N5" s="48">
        <v>5000</v>
      </c>
      <c r="O5" s="48"/>
      <c r="P5" s="48"/>
      <c r="Q5" s="48"/>
      <c r="R5" s="40"/>
      <c r="S5" s="40"/>
      <c r="T5" s="40"/>
      <c r="U5" s="40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</row>
    <row r="6" spans="1:35" ht="13.5" customHeight="1" x14ac:dyDescent="0.25">
      <c r="A6" s="48">
        <v>3</v>
      </c>
      <c r="B6" s="166" t="s">
        <v>224</v>
      </c>
      <c r="C6" s="166" t="s">
        <v>223</v>
      </c>
      <c r="D6" s="150">
        <f t="shared" si="1"/>
        <v>1600</v>
      </c>
      <c r="E6" s="48"/>
      <c r="F6" s="48"/>
      <c r="G6" s="35"/>
      <c r="H6" s="35"/>
      <c r="I6" s="35"/>
      <c r="J6" s="35"/>
      <c r="K6" s="35"/>
      <c r="L6" s="35"/>
      <c r="M6" s="48"/>
      <c r="N6" s="48"/>
      <c r="O6" s="48"/>
      <c r="P6" s="48"/>
      <c r="Q6" s="48"/>
      <c r="R6" s="40"/>
      <c r="S6" s="40"/>
      <c r="T6" s="40"/>
      <c r="U6" s="40"/>
      <c r="V6" s="48"/>
      <c r="W6" s="48"/>
      <c r="X6" s="48"/>
      <c r="Y6" s="48"/>
      <c r="Z6" s="48"/>
      <c r="AA6" s="48"/>
      <c r="AB6" s="48">
        <v>1600</v>
      </c>
      <c r="AC6" s="48"/>
      <c r="AD6" s="48"/>
      <c r="AE6" s="48"/>
      <c r="AF6" s="48"/>
      <c r="AG6" s="48"/>
      <c r="AH6" s="48"/>
      <c r="AI6" s="48"/>
    </row>
    <row r="7" spans="1:35" ht="13.5" customHeight="1" x14ac:dyDescent="0.25">
      <c r="A7" s="48">
        <v>4</v>
      </c>
      <c r="B7" s="176" t="s">
        <v>1070</v>
      </c>
      <c r="C7" s="176" t="s">
        <v>1069</v>
      </c>
      <c r="D7" s="150">
        <f t="shared" si="1"/>
        <v>500</v>
      </c>
      <c r="E7" s="48"/>
      <c r="F7" s="48"/>
      <c r="G7" s="35"/>
      <c r="H7" s="35"/>
      <c r="I7" s="35"/>
      <c r="J7" s="35"/>
      <c r="K7" s="35"/>
      <c r="L7" s="35"/>
      <c r="M7" s="48"/>
      <c r="N7" s="48"/>
      <c r="O7" s="48"/>
      <c r="P7" s="48"/>
      <c r="Q7" s="48"/>
      <c r="R7" s="40"/>
      <c r="S7" s="40"/>
      <c r="T7" s="40"/>
      <c r="U7" s="40"/>
      <c r="V7" s="48">
        <v>500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</row>
    <row r="8" spans="1:35" ht="13.5" customHeight="1" x14ac:dyDescent="0.25">
      <c r="A8" s="48">
        <v>5</v>
      </c>
      <c r="B8" s="176" t="s">
        <v>1164</v>
      </c>
      <c r="C8" s="176" t="s">
        <v>1163</v>
      </c>
      <c r="D8" s="150">
        <f t="shared" si="1"/>
        <v>40000</v>
      </c>
      <c r="E8" s="48"/>
      <c r="F8" s="48"/>
      <c r="G8" s="35"/>
      <c r="H8" s="35"/>
      <c r="I8" s="35"/>
      <c r="J8" s="35"/>
      <c r="K8" s="35"/>
      <c r="L8" s="35"/>
      <c r="M8" s="48"/>
      <c r="N8" s="48"/>
      <c r="O8" s="48"/>
      <c r="P8" s="48"/>
      <c r="Q8" s="48"/>
      <c r="R8" s="40"/>
      <c r="S8" s="40"/>
      <c r="T8" s="40"/>
      <c r="U8" s="40"/>
      <c r="V8" s="48"/>
      <c r="W8" s="48"/>
      <c r="X8" s="48"/>
      <c r="Y8" s="48"/>
      <c r="Z8" s="48"/>
      <c r="AA8" s="48"/>
      <c r="AB8" s="48">
        <v>40000</v>
      </c>
      <c r="AC8" s="48"/>
      <c r="AD8" s="48"/>
      <c r="AE8" s="48"/>
      <c r="AF8" s="48"/>
      <c r="AG8" s="48"/>
      <c r="AH8" s="48"/>
      <c r="AI8" s="48"/>
    </row>
    <row r="9" spans="1:35" ht="13.5" customHeight="1" x14ac:dyDescent="0.25">
      <c r="A9" s="48">
        <v>6</v>
      </c>
      <c r="B9" s="176" t="s">
        <v>1166</v>
      </c>
      <c r="C9" s="176" t="s">
        <v>1165</v>
      </c>
      <c r="D9" s="150">
        <f t="shared" si="1"/>
        <v>120</v>
      </c>
      <c r="E9" s="48"/>
      <c r="F9" s="48"/>
      <c r="G9" s="35"/>
      <c r="H9" s="35"/>
      <c r="I9" s="35"/>
      <c r="J9" s="35"/>
      <c r="K9" s="35"/>
      <c r="L9" s="35"/>
      <c r="M9" s="48"/>
      <c r="N9" s="48"/>
      <c r="O9" s="48"/>
      <c r="P9" s="48"/>
      <c r="Q9" s="48"/>
      <c r="R9" s="40"/>
      <c r="S9" s="40"/>
      <c r="T9" s="40"/>
      <c r="U9" s="40"/>
      <c r="V9" s="48"/>
      <c r="W9" s="48"/>
      <c r="X9" s="48"/>
      <c r="Y9" s="48"/>
      <c r="Z9" s="48"/>
      <c r="AA9" s="48"/>
      <c r="AB9" s="48">
        <v>120</v>
      </c>
      <c r="AC9" s="48"/>
      <c r="AD9" s="48"/>
      <c r="AE9" s="48"/>
      <c r="AF9" s="48"/>
      <c r="AG9" s="48"/>
      <c r="AH9" s="48"/>
      <c r="AI9" s="48"/>
    </row>
    <row r="10" spans="1:35" ht="13.5" customHeight="1" x14ac:dyDescent="0.25">
      <c r="A10" s="48">
        <v>7</v>
      </c>
      <c r="B10" s="166" t="s">
        <v>276</v>
      </c>
      <c r="C10" s="166" t="s">
        <v>275</v>
      </c>
      <c r="D10" s="150">
        <f t="shared" si="1"/>
        <v>4364</v>
      </c>
      <c r="E10" s="48"/>
      <c r="F10" s="48"/>
      <c r="G10" s="35"/>
      <c r="H10" s="35"/>
      <c r="I10" s="35"/>
      <c r="J10" s="35"/>
      <c r="K10" s="35"/>
      <c r="L10" s="35"/>
      <c r="M10" s="48"/>
      <c r="N10" s="48"/>
      <c r="O10" s="48"/>
      <c r="P10" s="48"/>
      <c r="Q10" s="48"/>
      <c r="R10" s="40"/>
      <c r="S10" s="40"/>
      <c r="T10" s="40"/>
      <c r="U10" s="40"/>
      <c r="V10" s="48"/>
      <c r="W10" s="48">
        <v>4364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</row>
    <row r="11" spans="1:35" ht="13.5" customHeight="1" x14ac:dyDescent="0.25">
      <c r="A11" s="48">
        <v>8</v>
      </c>
      <c r="B11" s="166" t="s">
        <v>752</v>
      </c>
      <c r="C11" s="166" t="s">
        <v>751</v>
      </c>
      <c r="D11" s="150">
        <f t="shared" si="1"/>
        <v>19000</v>
      </c>
      <c r="E11" s="48"/>
      <c r="F11" s="48"/>
      <c r="G11" s="35"/>
      <c r="H11" s="35"/>
      <c r="I11" s="35"/>
      <c r="J11" s="35"/>
      <c r="K11" s="35"/>
      <c r="L11" s="35"/>
      <c r="M11" s="48"/>
      <c r="N11" s="48"/>
      <c r="O11" s="48">
        <v>19000</v>
      </c>
      <c r="P11" s="48"/>
      <c r="Q11" s="48"/>
      <c r="R11" s="40"/>
      <c r="S11" s="40"/>
      <c r="T11" s="40"/>
      <c r="U11" s="40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</row>
    <row r="12" spans="1:35" ht="13.5" customHeight="1" x14ac:dyDescent="0.25">
      <c r="A12" s="48">
        <v>9</v>
      </c>
      <c r="B12" s="166" t="s">
        <v>286</v>
      </c>
      <c r="C12" s="166" t="s">
        <v>285</v>
      </c>
      <c r="D12" s="150">
        <f t="shared" si="1"/>
        <v>26300</v>
      </c>
      <c r="E12" s="48"/>
      <c r="F12" s="48"/>
      <c r="G12" s="35"/>
      <c r="H12" s="35"/>
      <c r="I12" s="35"/>
      <c r="J12" s="35"/>
      <c r="K12" s="35"/>
      <c r="L12" s="35"/>
      <c r="M12" s="48"/>
      <c r="N12" s="48"/>
      <c r="O12" s="48"/>
      <c r="P12" s="48"/>
      <c r="Q12" s="48"/>
      <c r="R12" s="40"/>
      <c r="S12" s="40"/>
      <c r="T12" s="40"/>
      <c r="U12" s="40">
        <v>5000</v>
      </c>
      <c r="V12" s="48">
        <f>5500+5800</f>
        <v>11300</v>
      </c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>
        <v>10000</v>
      </c>
      <c r="AI12" s="48"/>
    </row>
    <row r="13" spans="1:35" ht="13.5" customHeight="1" x14ac:dyDescent="0.25">
      <c r="A13" s="48">
        <v>10</v>
      </c>
      <c r="B13" s="166" t="s">
        <v>318</v>
      </c>
      <c r="C13" s="166" t="s">
        <v>317</v>
      </c>
      <c r="D13" s="150">
        <f t="shared" si="1"/>
        <v>2000</v>
      </c>
      <c r="E13" s="48"/>
      <c r="F13" s="48"/>
      <c r="G13" s="35"/>
      <c r="H13" s="35"/>
      <c r="I13" s="35"/>
      <c r="J13" s="35"/>
      <c r="K13" s="35"/>
      <c r="L13" s="35"/>
      <c r="M13" s="48"/>
      <c r="N13" s="48"/>
      <c r="O13" s="48"/>
      <c r="P13" s="48"/>
      <c r="Q13" s="48"/>
      <c r="R13" s="40"/>
      <c r="S13" s="40"/>
      <c r="T13" s="40"/>
      <c r="U13" s="40">
        <v>2000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</row>
    <row r="14" spans="1:35" ht="13.5" customHeight="1" x14ac:dyDescent="0.25">
      <c r="A14" s="48">
        <v>11</v>
      </c>
      <c r="B14" s="166" t="s">
        <v>330</v>
      </c>
      <c r="C14" s="166" t="s">
        <v>329</v>
      </c>
      <c r="D14" s="150">
        <f t="shared" si="1"/>
        <v>8500</v>
      </c>
      <c r="E14" s="48"/>
      <c r="F14" s="48"/>
      <c r="G14" s="35"/>
      <c r="H14" s="35"/>
      <c r="I14" s="35"/>
      <c r="J14" s="35"/>
      <c r="K14" s="35"/>
      <c r="L14" s="35"/>
      <c r="M14" s="48"/>
      <c r="N14" s="48"/>
      <c r="O14" s="48"/>
      <c r="P14" s="48"/>
      <c r="Q14" s="48"/>
      <c r="R14" s="40"/>
      <c r="S14" s="40"/>
      <c r="T14" s="40"/>
      <c r="U14" s="40">
        <v>5500</v>
      </c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>
        <v>3000</v>
      </c>
      <c r="AH14" s="48"/>
      <c r="AI14" s="48"/>
    </row>
    <row r="15" spans="1:35" ht="13.5" customHeight="1" x14ac:dyDescent="0.25">
      <c r="A15" s="48">
        <v>12</v>
      </c>
      <c r="B15" s="176" t="s">
        <v>1128</v>
      </c>
      <c r="C15" s="176" t="s">
        <v>1127</v>
      </c>
      <c r="D15" s="150">
        <f t="shared" si="1"/>
        <v>500</v>
      </c>
      <c r="E15" s="48"/>
      <c r="F15" s="48"/>
      <c r="G15" s="35"/>
      <c r="H15" s="35"/>
      <c r="I15" s="35"/>
      <c r="J15" s="35"/>
      <c r="K15" s="35"/>
      <c r="L15" s="35"/>
      <c r="M15" s="48"/>
      <c r="N15" s="48"/>
      <c r="O15" s="48"/>
      <c r="P15" s="48"/>
      <c r="Q15" s="48"/>
      <c r="R15" s="40"/>
      <c r="S15" s="40"/>
      <c r="T15" s="40"/>
      <c r="U15" s="40"/>
      <c r="V15" s="48"/>
      <c r="W15" s="48"/>
      <c r="X15" s="48"/>
      <c r="Y15" s="48">
        <v>500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</row>
    <row r="16" spans="1:35" ht="13.5" customHeight="1" x14ac:dyDescent="0.25">
      <c r="A16" s="48">
        <v>13</v>
      </c>
      <c r="B16" s="166" t="s">
        <v>681</v>
      </c>
      <c r="C16" s="166" t="s">
        <v>680</v>
      </c>
      <c r="D16" s="150">
        <f t="shared" si="1"/>
        <v>500</v>
      </c>
      <c r="E16" s="48"/>
      <c r="F16" s="48"/>
      <c r="G16" s="35"/>
      <c r="H16" s="35"/>
      <c r="I16" s="35"/>
      <c r="J16" s="35">
        <v>500</v>
      </c>
      <c r="K16" s="35"/>
      <c r="L16" s="35"/>
      <c r="M16" s="48"/>
      <c r="N16" s="48"/>
      <c r="O16" s="48"/>
      <c r="P16" s="48"/>
      <c r="Q16" s="48"/>
      <c r="R16" s="40"/>
      <c r="S16" s="40"/>
      <c r="T16" s="40"/>
      <c r="U16" s="40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ht="13.5" customHeight="1" x14ac:dyDescent="0.25">
      <c r="A17" s="48">
        <v>14</v>
      </c>
      <c r="B17" s="176" t="s">
        <v>1068</v>
      </c>
      <c r="C17" s="176" t="s">
        <v>1067</v>
      </c>
      <c r="D17" s="150">
        <f t="shared" si="1"/>
        <v>2620</v>
      </c>
      <c r="E17" s="48"/>
      <c r="F17" s="48"/>
      <c r="G17" s="35"/>
      <c r="H17" s="35"/>
      <c r="I17" s="35"/>
      <c r="J17" s="35"/>
      <c r="K17" s="35"/>
      <c r="L17" s="35"/>
      <c r="M17" s="48"/>
      <c r="N17" s="48"/>
      <c r="O17" s="48"/>
      <c r="P17" s="48"/>
      <c r="Q17" s="48"/>
      <c r="R17" s="40"/>
      <c r="S17" s="40"/>
      <c r="T17" s="40"/>
      <c r="U17" s="40"/>
      <c r="V17" s="48">
        <v>2500</v>
      </c>
      <c r="W17" s="48"/>
      <c r="X17" s="48"/>
      <c r="Y17" s="155"/>
      <c r="Z17" s="48"/>
      <c r="AA17" s="48"/>
      <c r="AB17" s="48">
        <v>120</v>
      </c>
      <c r="AC17" s="48"/>
      <c r="AD17" s="48"/>
      <c r="AE17" s="48"/>
      <c r="AF17" s="48"/>
      <c r="AG17" s="48"/>
      <c r="AH17" s="48"/>
      <c r="AI17" s="48"/>
    </row>
    <row r="18" spans="1:35" ht="13.5" customHeight="1" x14ac:dyDescent="0.25">
      <c r="A18" s="48">
        <v>15</v>
      </c>
      <c r="B18" s="166" t="s">
        <v>784</v>
      </c>
      <c r="C18" s="166" t="s">
        <v>783</v>
      </c>
      <c r="D18" s="150">
        <f t="shared" si="1"/>
        <v>11290</v>
      </c>
      <c r="E18" s="48"/>
      <c r="F18" s="48"/>
      <c r="G18" s="35"/>
      <c r="H18" s="35"/>
      <c r="I18" s="35"/>
      <c r="J18" s="35"/>
      <c r="K18" s="35">
        <v>3000</v>
      </c>
      <c r="L18" s="35"/>
      <c r="M18" s="48"/>
      <c r="N18" s="48"/>
      <c r="O18" s="48"/>
      <c r="P18" s="48"/>
      <c r="Q18" s="48"/>
      <c r="R18" s="40"/>
      <c r="S18" s="40"/>
      <c r="T18" s="40"/>
      <c r="U18" s="40">
        <v>6000</v>
      </c>
      <c r="V18" s="48">
        <v>290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>
        <v>2000</v>
      </c>
      <c r="AH18" s="48"/>
      <c r="AI18" s="48"/>
    </row>
    <row r="19" spans="1:35" ht="13.5" customHeight="1" x14ac:dyDescent="0.25">
      <c r="A19" s="48">
        <v>16</v>
      </c>
      <c r="B19" s="176" t="s">
        <v>425</v>
      </c>
      <c r="C19" s="176" t="s">
        <v>424</v>
      </c>
      <c r="D19" s="150">
        <f t="shared" si="1"/>
        <v>47500</v>
      </c>
      <c r="E19" s="48"/>
      <c r="F19" s="48"/>
      <c r="G19" s="35"/>
      <c r="H19" s="35"/>
      <c r="I19" s="35"/>
      <c r="J19" s="35"/>
      <c r="K19" s="35"/>
      <c r="L19" s="35"/>
      <c r="M19" s="48"/>
      <c r="N19" s="48"/>
      <c r="O19" s="48"/>
      <c r="P19" s="48"/>
      <c r="Q19" s="48"/>
      <c r="R19" s="40"/>
      <c r="S19" s="40"/>
      <c r="T19" s="40"/>
      <c r="U19" s="40"/>
      <c r="V19" s="48">
        <v>22500</v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>
        <v>25000</v>
      </c>
      <c r="AH19" s="48"/>
      <c r="AI19" s="48"/>
    </row>
    <row r="20" spans="1:35" ht="13.5" customHeight="1" x14ac:dyDescent="0.25">
      <c r="A20" s="48">
        <v>17</v>
      </c>
      <c r="B20" s="166" t="s">
        <v>167</v>
      </c>
      <c r="C20" s="166" t="s">
        <v>166</v>
      </c>
      <c r="D20" s="150">
        <f t="shared" si="1"/>
        <v>461000</v>
      </c>
      <c r="E20" s="48"/>
      <c r="F20" s="48"/>
      <c r="G20" s="35"/>
      <c r="H20" s="35"/>
      <c r="I20" s="35"/>
      <c r="J20" s="35"/>
      <c r="K20" s="35"/>
      <c r="L20" s="35"/>
      <c r="M20" s="48">
        <v>30000</v>
      </c>
      <c r="N20" s="48">
        <v>25000</v>
      </c>
      <c r="O20" s="48"/>
      <c r="P20" s="48">
        <v>20000</v>
      </c>
      <c r="Q20" s="48"/>
      <c r="R20" s="40"/>
      <c r="S20" s="40"/>
      <c r="T20" s="40"/>
      <c r="U20" s="40">
        <v>10000</v>
      </c>
      <c r="V20" s="48"/>
      <c r="W20" s="48"/>
      <c r="X20" s="48">
        <v>20000</v>
      </c>
      <c r="Y20" s="48">
        <v>40000</v>
      </c>
      <c r="Z20" s="48">
        <v>65000</v>
      </c>
      <c r="AA20" s="48"/>
      <c r="AB20" s="48"/>
      <c r="AC20" s="48">
        <v>60000</v>
      </c>
      <c r="AD20" s="48">
        <v>70000</v>
      </c>
      <c r="AE20" s="48">
        <v>50000</v>
      </c>
      <c r="AF20" s="48">
        <v>70000</v>
      </c>
      <c r="AG20" s="48"/>
      <c r="AH20" s="48">
        <v>1000</v>
      </c>
      <c r="AI20" s="48"/>
    </row>
    <row r="21" spans="1:35" ht="13.5" customHeight="1" x14ac:dyDescent="0.25">
      <c r="A21" s="48">
        <v>18</v>
      </c>
      <c r="B21" s="166" t="s">
        <v>553</v>
      </c>
      <c r="C21" s="166" t="s">
        <v>552</v>
      </c>
      <c r="D21" s="150">
        <f t="shared" si="1"/>
        <v>13500</v>
      </c>
      <c r="E21" s="48"/>
      <c r="F21" s="48"/>
      <c r="G21" s="35"/>
      <c r="H21" s="35"/>
      <c r="I21" s="35"/>
      <c r="J21" s="35"/>
      <c r="K21" s="35">
        <v>8000</v>
      </c>
      <c r="L21" s="35"/>
      <c r="M21" s="48"/>
      <c r="N21" s="48">
        <v>5500</v>
      </c>
      <c r="O21" s="48"/>
      <c r="P21" s="48"/>
      <c r="Q21" s="48"/>
      <c r="R21" s="40"/>
      <c r="S21" s="40"/>
      <c r="T21" s="40"/>
      <c r="U21" s="40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ht="13.5" customHeight="1" x14ac:dyDescent="0.25">
      <c r="A22" s="141" t="s">
        <v>140</v>
      </c>
      <c r="B22" s="142" t="s">
        <v>119</v>
      </c>
      <c r="C22" s="141" t="s">
        <v>141</v>
      </c>
      <c r="D22" s="143">
        <f t="shared" ref="D22:AI22" si="2">SUM(D23:D53)</f>
        <v>702750</v>
      </c>
      <c r="E22" s="143">
        <f t="shared" si="2"/>
        <v>0</v>
      </c>
      <c r="F22" s="143">
        <f t="shared" si="2"/>
        <v>0</v>
      </c>
      <c r="G22" s="143">
        <f t="shared" si="2"/>
        <v>0</v>
      </c>
      <c r="H22" s="143">
        <f t="shared" si="2"/>
        <v>35000</v>
      </c>
      <c r="I22" s="143">
        <f t="shared" si="2"/>
        <v>0</v>
      </c>
      <c r="J22" s="143">
        <f t="shared" si="2"/>
        <v>480</v>
      </c>
      <c r="K22" s="143">
        <f t="shared" si="2"/>
        <v>15000</v>
      </c>
      <c r="L22" s="143">
        <f t="shared" si="2"/>
        <v>20000</v>
      </c>
      <c r="M22" s="143">
        <f t="shared" si="2"/>
        <v>30000</v>
      </c>
      <c r="N22" s="143">
        <f t="shared" si="2"/>
        <v>33600</v>
      </c>
      <c r="O22" s="143">
        <f t="shared" si="2"/>
        <v>6400</v>
      </c>
      <c r="P22" s="143">
        <f t="shared" si="2"/>
        <v>16700</v>
      </c>
      <c r="Q22" s="143">
        <f t="shared" si="2"/>
        <v>0</v>
      </c>
      <c r="R22" s="143">
        <f t="shared" si="2"/>
        <v>0</v>
      </c>
      <c r="S22" s="143">
        <f t="shared" si="2"/>
        <v>0</v>
      </c>
      <c r="T22" s="143">
        <f t="shared" si="2"/>
        <v>0</v>
      </c>
      <c r="U22" s="143">
        <f t="shared" si="2"/>
        <v>21000</v>
      </c>
      <c r="V22" s="143">
        <f t="shared" si="2"/>
        <v>38300</v>
      </c>
      <c r="W22" s="143">
        <f t="shared" si="2"/>
        <v>10700</v>
      </c>
      <c r="X22" s="143">
        <f t="shared" si="2"/>
        <v>40000</v>
      </c>
      <c r="Y22" s="143">
        <f t="shared" si="2"/>
        <v>51000</v>
      </c>
      <c r="Z22" s="143">
        <f t="shared" si="2"/>
        <v>65000</v>
      </c>
      <c r="AA22" s="143">
        <f t="shared" si="2"/>
        <v>0</v>
      </c>
      <c r="AB22" s="143">
        <f t="shared" si="2"/>
        <v>40000</v>
      </c>
      <c r="AC22" s="143">
        <f t="shared" si="2"/>
        <v>40000</v>
      </c>
      <c r="AD22" s="143">
        <f t="shared" si="2"/>
        <v>70500</v>
      </c>
      <c r="AE22" s="143">
        <f t="shared" si="2"/>
        <v>50000</v>
      </c>
      <c r="AF22" s="143">
        <f t="shared" si="2"/>
        <v>45070</v>
      </c>
      <c r="AG22" s="143">
        <f t="shared" si="2"/>
        <v>45500</v>
      </c>
      <c r="AH22" s="143">
        <f t="shared" si="2"/>
        <v>28500</v>
      </c>
      <c r="AI22" s="143">
        <f t="shared" si="2"/>
        <v>0</v>
      </c>
    </row>
    <row r="23" spans="1:35" ht="13.5" customHeight="1" x14ac:dyDescent="0.25">
      <c r="A23" s="48">
        <v>1</v>
      </c>
      <c r="B23" s="166" t="s">
        <v>291</v>
      </c>
      <c r="C23" s="166" t="s">
        <v>290</v>
      </c>
      <c r="D23" s="150">
        <f t="shared" ref="D23:D53" si="3">SUM(E23:AI23)</f>
        <v>7500</v>
      </c>
      <c r="E23" s="137"/>
      <c r="F23" s="137"/>
      <c r="G23" s="137"/>
      <c r="H23" s="137"/>
      <c r="I23" s="35"/>
      <c r="J23" s="137"/>
      <c r="K23" s="35">
        <v>5000</v>
      </c>
      <c r="L23" s="137"/>
      <c r="M23" s="137"/>
      <c r="N23" s="48"/>
      <c r="O23" s="48"/>
      <c r="P23" s="137"/>
      <c r="Q23" s="137"/>
      <c r="R23" s="137"/>
      <c r="S23" s="137"/>
      <c r="T23" s="40"/>
      <c r="U23" s="137"/>
      <c r="V23" s="137"/>
      <c r="W23" s="137"/>
      <c r="X23" s="137"/>
      <c r="Y23" s="48"/>
      <c r="Z23" s="48"/>
      <c r="AA23" s="137"/>
      <c r="AB23" s="137"/>
      <c r="AC23" s="137"/>
      <c r="AD23" s="48"/>
      <c r="AE23" s="137"/>
      <c r="AF23" s="48"/>
      <c r="AG23" s="48">
        <v>2500</v>
      </c>
      <c r="AH23" s="137"/>
      <c r="AI23" s="137"/>
    </row>
    <row r="24" spans="1:35" ht="13.5" customHeight="1" x14ac:dyDescent="0.25">
      <c r="A24" s="48">
        <v>2</v>
      </c>
      <c r="B24" s="176" t="s">
        <v>986</v>
      </c>
      <c r="C24" s="176" t="s">
        <v>985</v>
      </c>
      <c r="D24" s="150">
        <f t="shared" si="3"/>
        <v>10000</v>
      </c>
      <c r="E24" s="48"/>
      <c r="F24" s="48"/>
      <c r="G24" s="35"/>
      <c r="H24" s="35">
        <v>5000</v>
      </c>
      <c r="I24" s="35"/>
      <c r="J24" s="35"/>
      <c r="K24" s="35"/>
      <c r="L24" s="35"/>
      <c r="M24" s="48"/>
      <c r="N24" s="48"/>
      <c r="O24" s="48"/>
      <c r="P24" s="48">
        <v>5000</v>
      </c>
      <c r="Q24" s="48"/>
      <c r="R24" s="40"/>
      <c r="S24" s="40"/>
      <c r="T24" s="40"/>
      <c r="U24" s="40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</row>
    <row r="25" spans="1:35" ht="13.5" customHeight="1" x14ac:dyDescent="0.25">
      <c r="A25" s="48">
        <v>3</v>
      </c>
      <c r="B25" s="166" t="s">
        <v>849</v>
      </c>
      <c r="C25" s="166" t="s">
        <v>848</v>
      </c>
      <c r="D25" s="150">
        <f t="shared" si="3"/>
        <v>0</v>
      </c>
      <c r="E25" s="48"/>
      <c r="F25" s="48"/>
      <c r="G25" s="35"/>
      <c r="H25" s="35"/>
      <c r="I25" s="35"/>
      <c r="J25" s="35"/>
      <c r="K25" s="35"/>
      <c r="L25" s="35"/>
      <c r="M25" s="48"/>
      <c r="N25" s="48"/>
      <c r="O25" s="48"/>
      <c r="P25" s="48"/>
      <c r="Q25" s="48"/>
      <c r="R25" s="40"/>
      <c r="S25" s="40"/>
      <c r="T25" s="40"/>
      <c r="U25" s="40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</row>
    <row r="26" spans="1:35" ht="13.5" customHeight="1" x14ac:dyDescent="0.25">
      <c r="A26" s="48">
        <v>4</v>
      </c>
      <c r="B26" s="176" t="s">
        <v>1122</v>
      </c>
      <c r="C26" s="176" t="s">
        <v>1121</v>
      </c>
      <c r="D26" s="150">
        <f t="shared" si="3"/>
        <v>500</v>
      </c>
      <c r="E26" s="48"/>
      <c r="F26" s="48"/>
      <c r="G26" s="35"/>
      <c r="H26" s="35"/>
      <c r="I26" s="35"/>
      <c r="J26" s="35"/>
      <c r="K26" s="35"/>
      <c r="L26" s="35"/>
      <c r="M26" s="48"/>
      <c r="N26" s="48"/>
      <c r="O26" s="48"/>
      <c r="P26" s="48"/>
      <c r="Q26" s="48"/>
      <c r="R26" s="40"/>
      <c r="S26" s="40"/>
      <c r="T26" s="40"/>
      <c r="U26" s="40"/>
      <c r="V26" s="48"/>
      <c r="W26" s="48"/>
      <c r="X26" s="48"/>
      <c r="Y26" s="48">
        <v>500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</row>
    <row r="27" spans="1:35" ht="13.5" customHeight="1" x14ac:dyDescent="0.25">
      <c r="A27" s="48">
        <v>5</v>
      </c>
      <c r="B27" s="166" t="s">
        <v>328</v>
      </c>
      <c r="C27" s="166" t="s">
        <v>327</v>
      </c>
      <c r="D27" s="150">
        <f t="shared" si="3"/>
        <v>8000</v>
      </c>
      <c r="E27" s="48"/>
      <c r="F27" s="48"/>
      <c r="G27" s="35"/>
      <c r="H27" s="35"/>
      <c r="I27" s="35"/>
      <c r="J27" s="35"/>
      <c r="K27" s="35"/>
      <c r="L27" s="35"/>
      <c r="M27" s="48"/>
      <c r="N27" s="48"/>
      <c r="O27" s="48"/>
      <c r="P27" s="48"/>
      <c r="Q27" s="48"/>
      <c r="R27" s="40"/>
      <c r="S27" s="40"/>
      <c r="T27" s="40"/>
      <c r="U27" s="40">
        <v>5000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>
        <v>3000</v>
      </c>
      <c r="AH27" s="48"/>
      <c r="AI27" s="48"/>
    </row>
    <row r="28" spans="1:35" ht="13.5" customHeight="1" x14ac:dyDescent="0.25">
      <c r="A28" s="48">
        <v>6</v>
      </c>
      <c r="B28" s="176" t="s">
        <v>1073</v>
      </c>
      <c r="C28" s="176" t="s">
        <v>1071</v>
      </c>
      <c r="D28" s="150">
        <f t="shared" si="3"/>
        <v>500</v>
      </c>
      <c r="E28" s="48"/>
      <c r="F28" s="48"/>
      <c r="G28" s="35"/>
      <c r="H28" s="35"/>
      <c r="I28" s="35"/>
      <c r="J28" s="35"/>
      <c r="K28" s="35"/>
      <c r="L28" s="35"/>
      <c r="M28" s="48"/>
      <c r="N28" s="48"/>
      <c r="O28" s="48"/>
      <c r="P28" s="48"/>
      <c r="Q28" s="48"/>
      <c r="R28" s="40"/>
      <c r="S28" s="40"/>
      <c r="T28" s="40"/>
      <c r="U28" s="40"/>
      <c r="V28" s="48">
        <v>500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</row>
    <row r="29" spans="1:35" ht="13.5" customHeight="1" x14ac:dyDescent="0.25">
      <c r="A29" s="48">
        <v>7</v>
      </c>
      <c r="B29" s="176" t="s">
        <v>1074</v>
      </c>
      <c r="C29" s="176" t="s">
        <v>1072</v>
      </c>
      <c r="D29" s="150">
        <f t="shared" si="3"/>
        <v>500</v>
      </c>
      <c r="E29" s="48"/>
      <c r="F29" s="48"/>
      <c r="G29" s="35"/>
      <c r="H29" s="35"/>
      <c r="I29" s="35"/>
      <c r="J29" s="35"/>
      <c r="K29" s="35"/>
      <c r="L29" s="35"/>
      <c r="M29" s="48"/>
      <c r="N29" s="48"/>
      <c r="O29" s="48"/>
      <c r="P29" s="48"/>
      <c r="Q29" s="48"/>
      <c r="R29" s="40"/>
      <c r="S29" s="40"/>
      <c r="T29" s="40"/>
      <c r="U29" s="40"/>
      <c r="V29" s="48">
        <v>500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</row>
    <row r="30" spans="1:35" ht="13.5" customHeight="1" x14ac:dyDescent="0.25">
      <c r="A30" s="48">
        <v>8</v>
      </c>
      <c r="B30" s="176" t="s">
        <v>1194</v>
      </c>
      <c r="C30" s="176" t="s">
        <v>1193</v>
      </c>
      <c r="D30" s="150">
        <f t="shared" si="3"/>
        <v>500</v>
      </c>
      <c r="E30" s="48"/>
      <c r="F30" s="48"/>
      <c r="G30" s="35"/>
      <c r="H30" s="35"/>
      <c r="I30" s="35"/>
      <c r="J30" s="35"/>
      <c r="K30" s="35"/>
      <c r="L30" s="35"/>
      <c r="M30" s="48"/>
      <c r="N30" s="48"/>
      <c r="O30" s="48"/>
      <c r="P30" s="48"/>
      <c r="Q30" s="48"/>
      <c r="R30" s="40"/>
      <c r="S30" s="40"/>
      <c r="T30" s="40"/>
      <c r="U30" s="40"/>
      <c r="V30" s="48"/>
      <c r="W30" s="48"/>
      <c r="X30" s="48"/>
      <c r="Y30" s="48"/>
      <c r="Z30" s="48"/>
      <c r="AA30" s="48"/>
      <c r="AB30" s="48"/>
      <c r="AC30" s="48"/>
      <c r="AD30" s="48">
        <v>500</v>
      </c>
      <c r="AE30" s="48"/>
      <c r="AF30" s="48"/>
      <c r="AG30" s="48"/>
      <c r="AH30" s="48"/>
      <c r="AI30" s="48"/>
    </row>
    <row r="31" spans="1:35" ht="13.5" customHeight="1" x14ac:dyDescent="0.25">
      <c r="A31" s="48">
        <v>9</v>
      </c>
      <c r="B31" s="176" t="s">
        <v>895</v>
      </c>
      <c r="C31" s="176" t="s">
        <v>894</v>
      </c>
      <c r="D31" s="150">
        <f t="shared" si="3"/>
        <v>30000</v>
      </c>
      <c r="E31" s="48"/>
      <c r="F31" s="48"/>
      <c r="G31" s="35"/>
      <c r="H31" s="35"/>
      <c r="I31" s="35"/>
      <c r="J31" s="35"/>
      <c r="K31" s="35"/>
      <c r="L31" s="35"/>
      <c r="M31" s="48"/>
      <c r="N31" s="48"/>
      <c r="O31" s="48"/>
      <c r="P31" s="48"/>
      <c r="Q31" s="48"/>
      <c r="R31" s="40"/>
      <c r="S31" s="40"/>
      <c r="T31" s="40"/>
      <c r="U31" s="40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>
        <v>30000</v>
      </c>
      <c r="AG31" s="48"/>
      <c r="AH31" s="48"/>
      <c r="AI31" s="48"/>
    </row>
    <row r="32" spans="1:35" ht="13.5" customHeight="1" x14ac:dyDescent="0.25">
      <c r="A32" s="48">
        <v>10</v>
      </c>
      <c r="B32" s="176" t="s">
        <v>1064</v>
      </c>
      <c r="C32" s="176" t="s">
        <v>1063</v>
      </c>
      <c r="D32" s="150">
        <f t="shared" si="3"/>
        <v>42500</v>
      </c>
      <c r="E32" s="48"/>
      <c r="F32" s="48"/>
      <c r="G32" s="35"/>
      <c r="H32" s="35"/>
      <c r="I32" s="35"/>
      <c r="J32" s="35"/>
      <c r="K32" s="35"/>
      <c r="L32" s="35"/>
      <c r="M32" s="48"/>
      <c r="N32" s="48"/>
      <c r="O32" s="48"/>
      <c r="P32" s="48"/>
      <c r="Q32" s="48"/>
      <c r="R32" s="40"/>
      <c r="S32" s="40"/>
      <c r="T32" s="40"/>
      <c r="U32" s="40">
        <v>2500</v>
      </c>
      <c r="V32" s="48"/>
      <c r="W32" s="48"/>
      <c r="X32" s="48"/>
      <c r="Y32" s="48"/>
      <c r="Z32" s="48"/>
      <c r="AA32" s="48"/>
      <c r="AB32" s="48">
        <v>40000</v>
      </c>
      <c r="AC32" s="48"/>
      <c r="AD32" s="48"/>
      <c r="AE32" s="48"/>
      <c r="AF32" s="48"/>
      <c r="AG32" s="48"/>
      <c r="AH32" s="48"/>
      <c r="AI32" s="48"/>
    </row>
    <row r="33" spans="1:35" ht="13.5" customHeight="1" x14ac:dyDescent="0.25">
      <c r="A33" s="48">
        <v>11</v>
      </c>
      <c r="B33" s="166" t="s">
        <v>582</v>
      </c>
      <c r="C33" s="166" t="s">
        <v>580</v>
      </c>
      <c r="D33" s="150">
        <f t="shared" si="3"/>
        <v>21300</v>
      </c>
      <c r="E33" s="48"/>
      <c r="F33" s="48"/>
      <c r="G33" s="35"/>
      <c r="H33" s="35"/>
      <c r="I33" s="35"/>
      <c r="J33" s="35"/>
      <c r="K33" s="35"/>
      <c r="L33" s="35"/>
      <c r="M33" s="48"/>
      <c r="N33" s="48"/>
      <c r="O33" s="48"/>
      <c r="P33" s="48"/>
      <c r="Q33" s="48"/>
      <c r="R33" s="40"/>
      <c r="S33" s="40"/>
      <c r="T33" s="40"/>
      <c r="U33" s="40">
        <v>5500</v>
      </c>
      <c r="V33" s="48">
        <v>5800</v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>
        <v>10000</v>
      </c>
      <c r="AI33" s="48"/>
    </row>
    <row r="34" spans="1:35" ht="13.5" customHeight="1" x14ac:dyDescent="0.25">
      <c r="A34" s="48">
        <v>12</v>
      </c>
      <c r="B34" s="166" t="s">
        <v>320</v>
      </c>
      <c r="C34" s="166" t="s">
        <v>581</v>
      </c>
      <c r="D34" s="150">
        <f t="shared" si="3"/>
        <v>378500</v>
      </c>
      <c r="E34" s="48"/>
      <c r="F34" s="48"/>
      <c r="G34" s="35"/>
      <c r="H34" s="35"/>
      <c r="I34" s="35"/>
      <c r="J34" s="35"/>
      <c r="K34" s="35"/>
      <c r="L34" s="35"/>
      <c r="M34" s="48">
        <v>30000</v>
      </c>
      <c r="N34" s="48">
        <v>30000</v>
      </c>
      <c r="O34" s="48"/>
      <c r="P34" s="48"/>
      <c r="Q34" s="48"/>
      <c r="R34" s="40"/>
      <c r="S34" s="40"/>
      <c r="T34" s="40"/>
      <c r="U34" s="40"/>
      <c r="V34" s="48"/>
      <c r="W34" s="48"/>
      <c r="X34" s="48">
        <v>40000</v>
      </c>
      <c r="Y34" s="48">
        <v>50000</v>
      </c>
      <c r="Z34" s="48">
        <v>55000</v>
      </c>
      <c r="AA34" s="48"/>
      <c r="AB34" s="48"/>
      <c r="AC34" s="48">
        <v>35000</v>
      </c>
      <c r="AD34" s="48">
        <v>70000</v>
      </c>
      <c r="AE34" s="48">
        <v>50000</v>
      </c>
      <c r="AF34" s="48"/>
      <c r="AG34" s="48"/>
      <c r="AH34" s="48">
        <v>18500</v>
      </c>
      <c r="AI34" s="48"/>
    </row>
    <row r="35" spans="1:35" ht="13.5" customHeight="1" x14ac:dyDescent="0.25">
      <c r="A35" s="48">
        <v>13</v>
      </c>
      <c r="B35" s="166" t="s">
        <v>543</v>
      </c>
      <c r="C35" s="166" t="s">
        <v>542</v>
      </c>
      <c r="D35" s="150">
        <f t="shared" si="3"/>
        <v>2500</v>
      </c>
      <c r="E35" s="48"/>
      <c r="F35" s="48"/>
      <c r="G35" s="35"/>
      <c r="H35" s="35"/>
      <c r="I35" s="35"/>
      <c r="J35" s="35"/>
      <c r="K35" s="35"/>
      <c r="L35" s="35"/>
      <c r="M35" s="48"/>
      <c r="N35" s="48"/>
      <c r="O35" s="48"/>
      <c r="P35" s="48"/>
      <c r="Q35" s="48"/>
      <c r="R35" s="40"/>
      <c r="S35" s="40"/>
      <c r="T35" s="40"/>
      <c r="U35" s="40"/>
      <c r="V35" s="48">
        <v>2500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3.5" customHeight="1" x14ac:dyDescent="0.25">
      <c r="A36" s="48">
        <v>14</v>
      </c>
      <c r="B36" s="166" t="s">
        <v>226</v>
      </c>
      <c r="C36" s="166" t="s">
        <v>225</v>
      </c>
      <c r="D36" s="150">
        <f t="shared" si="3"/>
        <v>1600</v>
      </c>
      <c r="E36" s="48"/>
      <c r="F36" s="48"/>
      <c r="G36" s="35"/>
      <c r="H36" s="35"/>
      <c r="I36" s="35"/>
      <c r="J36" s="35"/>
      <c r="K36" s="35"/>
      <c r="L36" s="35"/>
      <c r="M36" s="48"/>
      <c r="N36" s="48"/>
      <c r="O36" s="48"/>
      <c r="P36" s="48"/>
      <c r="Q36" s="48"/>
      <c r="R36" s="40"/>
      <c r="S36" s="40"/>
      <c r="T36" s="40"/>
      <c r="U36" s="40"/>
      <c r="V36" s="48"/>
      <c r="W36" s="48">
        <v>1600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3.5" customHeight="1" x14ac:dyDescent="0.25">
      <c r="A37" s="48">
        <v>15</v>
      </c>
      <c r="B37" s="176" t="s">
        <v>1030</v>
      </c>
      <c r="C37" s="176" t="s">
        <v>1029</v>
      </c>
      <c r="D37" s="150">
        <f t="shared" si="3"/>
        <v>5900</v>
      </c>
      <c r="E37" s="48"/>
      <c r="F37" s="48"/>
      <c r="G37" s="35"/>
      <c r="H37" s="35"/>
      <c r="I37" s="35"/>
      <c r="J37" s="35"/>
      <c r="K37" s="35"/>
      <c r="L37" s="35"/>
      <c r="M37" s="48"/>
      <c r="N37" s="48"/>
      <c r="O37" s="48">
        <v>5900</v>
      </c>
      <c r="P37" s="48"/>
      <c r="Q37" s="48"/>
      <c r="R37" s="40"/>
      <c r="S37" s="40"/>
      <c r="T37" s="40"/>
      <c r="U37" s="40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3.5" customHeight="1" x14ac:dyDescent="0.25">
      <c r="A38" s="48">
        <v>16</v>
      </c>
      <c r="B38" s="166" t="s">
        <v>236</v>
      </c>
      <c r="C38" s="166" t="s">
        <v>235</v>
      </c>
      <c r="D38" s="150">
        <f t="shared" si="3"/>
        <v>58000</v>
      </c>
      <c r="E38" s="48"/>
      <c r="F38" s="48"/>
      <c r="G38" s="35"/>
      <c r="H38" s="35">
        <v>30000</v>
      </c>
      <c r="I38" s="35"/>
      <c r="J38" s="35"/>
      <c r="K38" s="35"/>
      <c r="L38" s="35">
        <v>20000</v>
      </c>
      <c r="M38" s="48"/>
      <c r="N38" s="48"/>
      <c r="O38" s="48"/>
      <c r="P38" s="48"/>
      <c r="Q38" s="48"/>
      <c r="R38" s="40"/>
      <c r="S38" s="40"/>
      <c r="T38" s="40"/>
      <c r="U38" s="40">
        <v>8000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3.5" customHeight="1" x14ac:dyDescent="0.25">
      <c r="A39" s="48">
        <v>17</v>
      </c>
      <c r="B39" s="176" t="s">
        <v>1024</v>
      </c>
      <c r="C39" s="176" t="s">
        <v>1023</v>
      </c>
      <c r="D39" s="150">
        <f t="shared" si="3"/>
        <v>100</v>
      </c>
      <c r="E39" s="48"/>
      <c r="F39" s="48"/>
      <c r="G39" s="35"/>
      <c r="H39" s="35"/>
      <c r="I39" s="35"/>
      <c r="J39" s="35"/>
      <c r="K39" s="35"/>
      <c r="L39" s="35"/>
      <c r="M39" s="48"/>
      <c r="N39" s="48">
        <v>100</v>
      </c>
      <c r="O39" s="48"/>
      <c r="P39" s="48"/>
      <c r="Q39" s="48"/>
      <c r="R39" s="40"/>
      <c r="S39" s="40"/>
      <c r="T39" s="40"/>
      <c r="U39" s="40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3.5" customHeight="1" x14ac:dyDescent="0.25">
      <c r="A40" s="48">
        <v>18</v>
      </c>
      <c r="B40" s="176" t="s">
        <v>1227</v>
      </c>
      <c r="C40" s="176" t="s">
        <v>1226</v>
      </c>
      <c r="D40" s="150">
        <f t="shared" si="3"/>
        <v>0</v>
      </c>
      <c r="E40" s="48"/>
      <c r="F40" s="48"/>
      <c r="G40" s="35"/>
      <c r="H40" s="35"/>
      <c r="I40" s="35"/>
      <c r="J40" s="35"/>
      <c r="K40" s="35"/>
      <c r="L40" s="35"/>
      <c r="M40" s="48"/>
      <c r="N40" s="48"/>
      <c r="O40" s="48"/>
      <c r="P40" s="48"/>
      <c r="Q40" s="48"/>
      <c r="R40" s="40"/>
      <c r="S40" s="40"/>
      <c r="T40" s="40"/>
      <c r="U40" s="40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35" ht="13.5" customHeight="1" x14ac:dyDescent="0.25">
      <c r="A41" s="48">
        <v>19</v>
      </c>
      <c r="B41" s="176" t="s">
        <v>1032</v>
      </c>
      <c r="C41" s="176" t="s">
        <v>1031</v>
      </c>
      <c r="D41" s="150">
        <f t="shared" si="3"/>
        <v>500</v>
      </c>
      <c r="E41" s="48"/>
      <c r="F41" s="48"/>
      <c r="G41" s="35"/>
      <c r="H41" s="35"/>
      <c r="I41" s="35"/>
      <c r="J41" s="35"/>
      <c r="K41" s="35"/>
      <c r="L41" s="35"/>
      <c r="M41" s="48"/>
      <c r="N41" s="48"/>
      <c r="O41" s="48">
        <v>500</v>
      </c>
      <c r="P41" s="48"/>
      <c r="Q41" s="48"/>
      <c r="R41" s="40"/>
      <c r="S41" s="40"/>
      <c r="T41" s="40"/>
      <c r="U41" s="40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3.5" customHeight="1" x14ac:dyDescent="0.25">
      <c r="A42" s="48">
        <v>20</v>
      </c>
      <c r="B42" s="166" t="s">
        <v>280</v>
      </c>
      <c r="C42" s="166" t="s">
        <v>279</v>
      </c>
      <c r="D42" s="150">
        <f t="shared" si="3"/>
        <v>4000</v>
      </c>
      <c r="E42" s="48"/>
      <c r="F42" s="48"/>
      <c r="G42" s="35"/>
      <c r="H42" s="35"/>
      <c r="I42" s="35"/>
      <c r="J42" s="35"/>
      <c r="K42" s="35"/>
      <c r="L42" s="35"/>
      <c r="M42" s="48"/>
      <c r="N42" s="48"/>
      <c r="O42" s="48"/>
      <c r="P42" s="48"/>
      <c r="Q42" s="48"/>
      <c r="R42" s="40"/>
      <c r="S42" s="40"/>
      <c r="T42" s="40"/>
      <c r="U42" s="40"/>
      <c r="V42" s="48">
        <v>4000</v>
      </c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13.5" customHeight="1" x14ac:dyDescent="0.25">
      <c r="A43" s="48">
        <v>21</v>
      </c>
      <c r="B43" s="166" t="s">
        <v>284</v>
      </c>
      <c r="C43" s="166" t="s">
        <v>283</v>
      </c>
      <c r="D43" s="150">
        <f t="shared" si="3"/>
        <v>0</v>
      </c>
      <c r="E43" s="48"/>
      <c r="F43" s="48"/>
      <c r="G43" s="35"/>
      <c r="H43" s="35"/>
      <c r="I43" s="35"/>
      <c r="J43" s="35"/>
      <c r="K43" s="35"/>
      <c r="L43" s="35"/>
      <c r="M43" s="48"/>
      <c r="N43" s="48"/>
      <c r="O43" s="48"/>
      <c r="P43" s="48"/>
      <c r="Q43" s="48"/>
      <c r="R43" s="40"/>
      <c r="S43" s="40"/>
      <c r="T43" s="40"/>
      <c r="U43" s="40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ht="13.5" customHeight="1" x14ac:dyDescent="0.25">
      <c r="A44" s="48">
        <v>22</v>
      </c>
      <c r="B44" s="176" t="s">
        <v>1222</v>
      </c>
      <c r="C44" s="176" t="s">
        <v>1221</v>
      </c>
      <c r="D44" s="150">
        <f t="shared" si="3"/>
        <v>25000</v>
      </c>
      <c r="E44" s="48"/>
      <c r="F44" s="48"/>
      <c r="G44" s="35"/>
      <c r="H44" s="35"/>
      <c r="I44" s="35"/>
      <c r="J44" s="35"/>
      <c r="K44" s="35"/>
      <c r="L44" s="35"/>
      <c r="M44" s="48"/>
      <c r="N44" s="48"/>
      <c r="O44" s="48"/>
      <c r="P44" s="48"/>
      <c r="Q44" s="48"/>
      <c r="R44" s="40"/>
      <c r="S44" s="40"/>
      <c r="T44" s="40"/>
      <c r="U44" s="40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>
        <v>25000</v>
      </c>
      <c r="AH44" s="48"/>
      <c r="AI44" s="48"/>
    </row>
    <row r="45" spans="1:35" ht="13.5" customHeight="1" x14ac:dyDescent="0.25">
      <c r="A45" s="48">
        <v>23</v>
      </c>
      <c r="B45" s="166" t="s">
        <v>320</v>
      </c>
      <c r="C45" s="166" t="s">
        <v>319</v>
      </c>
      <c r="D45" s="150">
        <f t="shared" si="3"/>
        <v>37000</v>
      </c>
      <c r="E45" s="48"/>
      <c r="F45" s="48"/>
      <c r="G45" s="35"/>
      <c r="H45" s="35"/>
      <c r="I45" s="35"/>
      <c r="J45" s="35"/>
      <c r="K45" s="35"/>
      <c r="L45" s="35"/>
      <c r="M45" s="48"/>
      <c r="N45" s="48"/>
      <c r="O45" s="48"/>
      <c r="P45" s="48">
        <v>7000</v>
      </c>
      <c r="Q45" s="48"/>
      <c r="R45" s="40"/>
      <c r="S45" s="40"/>
      <c r="T45" s="40"/>
      <c r="U45" s="40"/>
      <c r="V45" s="48"/>
      <c r="W45" s="48"/>
      <c r="X45" s="48"/>
      <c r="Y45" s="48"/>
      <c r="Z45" s="48">
        <v>10000</v>
      </c>
      <c r="AA45" s="48"/>
      <c r="AB45" s="48"/>
      <c r="AC45" s="48">
        <v>5000</v>
      </c>
      <c r="AD45" s="48"/>
      <c r="AE45" s="48"/>
      <c r="AF45" s="48">
        <v>15000</v>
      </c>
      <c r="AG45" s="48"/>
      <c r="AH45" s="48"/>
      <c r="AI45" s="48"/>
    </row>
    <row r="46" spans="1:35" ht="13.5" customHeight="1" x14ac:dyDescent="0.25">
      <c r="A46" s="48">
        <v>24</v>
      </c>
      <c r="B46" s="166" t="s">
        <v>289</v>
      </c>
      <c r="C46" s="166" t="s">
        <v>288</v>
      </c>
      <c r="D46" s="150">
        <f t="shared" si="3"/>
        <v>0</v>
      </c>
      <c r="E46" s="48"/>
      <c r="F46" s="48"/>
      <c r="G46" s="35"/>
      <c r="H46" s="35"/>
      <c r="I46" s="35"/>
      <c r="J46" s="35"/>
      <c r="K46" s="35"/>
      <c r="L46" s="35"/>
      <c r="M46" s="48"/>
      <c r="N46" s="48"/>
      <c r="O46" s="48"/>
      <c r="P46" s="48"/>
      <c r="Q46" s="48"/>
      <c r="R46" s="40"/>
      <c r="S46" s="40"/>
      <c r="T46" s="40"/>
      <c r="U46" s="40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35" ht="13.5" customHeight="1" x14ac:dyDescent="0.25">
      <c r="A47" s="48">
        <v>25</v>
      </c>
      <c r="B47" s="166" t="s">
        <v>256</v>
      </c>
      <c r="C47" s="166" t="s">
        <v>255</v>
      </c>
      <c r="D47" s="150">
        <f t="shared" si="3"/>
        <v>25000</v>
      </c>
      <c r="E47" s="48"/>
      <c r="F47" s="48"/>
      <c r="G47" s="35"/>
      <c r="H47" s="35"/>
      <c r="I47" s="35"/>
      <c r="J47" s="35"/>
      <c r="K47" s="35"/>
      <c r="L47" s="35"/>
      <c r="M47" s="48"/>
      <c r="N47" s="48"/>
      <c r="O47" s="48"/>
      <c r="P47" s="48"/>
      <c r="Q47" s="48"/>
      <c r="R47" s="40"/>
      <c r="S47" s="40"/>
      <c r="T47" s="40"/>
      <c r="U47" s="40"/>
      <c r="V47" s="48">
        <v>25000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5" ht="13.5" customHeight="1" x14ac:dyDescent="0.25">
      <c r="A48" s="48">
        <v>26</v>
      </c>
      <c r="B48" s="176" t="s">
        <v>1086</v>
      </c>
      <c r="C48" s="176" t="s">
        <v>1085</v>
      </c>
      <c r="D48" s="150">
        <f t="shared" si="3"/>
        <v>5000</v>
      </c>
      <c r="E48" s="48"/>
      <c r="F48" s="48"/>
      <c r="G48" s="35"/>
      <c r="H48" s="35"/>
      <c r="I48" s="35"/>
      <c r="J48" s="35"/>
      <c r="K48" s="35"/>
      <c r="L48" s="35"/>
      <c r="M48" s="48"/>
      <c r="N48" s="48"/>
      <c r="O48" s="48"/>
      <c r="P48" s="48"/>
      <c r="Q48" s="48"/>
      <c r="R48" s="40"/>
      <c r="S48" s="40"/>
      <c r="T48" s="40"/>
      <c r="U48" s="40"/>
      <c r="V48" s="48"/>
      <c r="W48" s="48">
        <v>5000</v>
      </c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:35" ht="13.5" customHeight="1" x14ac:dyDescent="0.25">
      <c r="A49" s="48">
        <v>27</v>
      </c>
      <c r="B49" s="176" t="s">
        <v>1088</v>
      </c>
      <c r="C49" s="176" t="s">
        <v>1087</v>
      </c>
      <c r="D49" s="150">
        <f t="shared" si="3"/>
        <v>4100</v>
      </c>
      <c r="E49" s="48"/>
      <c r="F49" s="48"/>
      <c r="G49" s="35"/>
      <c r="H49" s="35"/>
      <c r="I49" s="35"/>
      <c r="J49" s="35"/>
      <c r="K49" s="35"/>
      <c r="L49" s="35"/>
      <c r="M49" s="48"/>
      <c r="N49" s="48"/>
      <c r="O49" s="48"/>
      <c r="P49" s="48"/>
      <c r="Q49" s="48"/>
      <c r="R49" s="40"/>
      <c r="S49" s="40"/>
      <c r="T49" s="40"/>
      <c r="U49" s="40"/>
      <c r="V49" s="48"/>
      <c r="W49" s="48">
        <v>4100</v>
      </c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</row>
    <row r="50" spans="1:35" ht="13.5" customHeight="1" x14ac:dyDescent="0.25">
      <c r="A50" s="48">
        <v>28</v>
      </c>
      <c r="B50" s="166" t="s">
        <v>310</v>
      </c>
      <c r="C50" s="166" t="s">
        <v>309</v>
      </c>
      <c r="D50" s="150">
        <f t="shared" si="3"/>
        <v>550</v>
      </c>
      <c r="E50" s="48"/>
      <c r="F50" s="48"/>
      <c r="G50" s="35"/>
      <c r="H50" s="35"/>
      <c r="I50" s="35"/>
      <c r="J50" s="35">
        <v>480</v>
      </c>
      <c r="K50" s="35"/>
      <c r="L50" s="35"/>
      <c r="M50" s="48"/>
      <c r="N50" s="48"/>
      <c r="O50" s="48"/>
      <c r="P50" s="48"/>
      <c r="Q50" s="48"/>
      <c r="R50" s="40"/>
      <c r="S50" s="40"/>
      <c r="T50" s="40"/>
      <c r="U50" s="40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>
        <v>70</v>
      </c>
      <c r="AG50" s="48"/>
      <c r="AH50" s="48"/>
      <c r="AI50" s="48"/>
    </row>
    <row r="51" spans="1:35" ht="13.5" customHeight="1" x14ac:dyDescent="0.25">
      <c r="A51" s="48">
        <v>29</v>
      </c>
      <c r="B51" s="166" t="s">
        <v>258</v>
      </c>
      <c r="C51" s="166" t="s">
        <v>257</v>
      </c>
      <c r="D51" s="150">
        <f t="shared" si="3"/>
        <v>13500</v>
      </c>
      <c r="E51" s="48"/>
      <c r="F51" s="48"/>
      <c r="G51" s="35"/>
      <c r="H51" s="35"/>
      <c r="I51" s="35"/>
      <c r="J51" s="35"/>
      <c r="K51" s="35">
        <v>10000</v>
      </c>
      <c r="L51" s="35"/>
      <c r="M51" s="48"/>
      <c r="N51" s="48">
        <v>3500</v>
      </c>
      <c r="O51" s="48"/>
      <c r="P51" s="48"/>
      <c r="Q51" s="48"/>
      <c r="R51" s="40"/>
      <c r="S51" s="40"/>
      <c r="T51" s="40"/>
      <c r="U51" s="40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  <row r="52" spans="1:35" ht="13.5" customHeight="1" x14ac:dyDescent="0.25">
      <c r="A52" s="48">
        <v>30</v>
      </c>
      <c r="B52" s="166" t="s">
        <v>287</v>
      </c>
      <c r="C52" s="166" t="s">
        <v>296</v>
      </c>
      <c r="D52" s="150">
        <f t="shared" si="3"/>
        <v>19700</v>
      </c>
      <c r="E52" s="48"/>
      <c r="F52" s="48"/>
      <c r="G52" s="35"/>
      <c r="H52" s="35"/>
      <c r="I52" s="35"/>
      <c r="J52" s="35"/>
      <c r="K52" s="35"/>
      <c r="L52" s="35"/>
      <c r="M52" s="48"/>
      <c r="N52" s="48"/>
      <c r="O52" s="48"/>
      <c r="P52" s="48">
        <v>4700</v>
      </c>
      <c r="Q52" s="48"/>
      <c r="R52" s="40"/>
      <c r="S52" s="40"/>
      <c r="T52" s="40"/>
      <c r="U52" s="40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>
        <v>15000</v>
      </c>
      <c r="AH52" s="48"/>
      <c r="AI52" s="48"/>
    </row>
    <row r="53" spans="1:35" ht="13.5" customHeight="1" x14ac:dyDescent="0.25">
      <c r="A53" s="48">
        <v>31</v>
      </c>
      <c r="B53" s="176" t="s">
        <v>1124</v>
      </c>
      <c r="C53" s="176" t="s">
        <v>1123</v>
      </c>
      <c r="D53" s="150">
        <f t="shared" si="3"/>
        <v>500</v>
      </c>
      <c r="E53" s="48"/>
      <c r="F53" s="48"/>
      <c r="G53" s="35"/>
      <c r="H53" s="35"/>
      <c r="I53" s="35"/>
      <c r="J53" s="35"/>
      <c r="K53" s="35"/>
      <c r="L53" s="35"/>
      <c r="M53" s="48"/>
      <c r="N53" s="48"/>
      <c r="O53" s="48"/>
      <c r="P53" s="48"/>
      <c r="Q53" s="48"/>
      <c r="R53" s="40"/>
      <c r="S53" s="40"/>
      <c r="T53" s="40"/>
      <c r="U53" s="40"/>
      <c r="V53" s="48"/>
      <c r="W53" s="48"/>
      <c r="X53" s="48"/>
      <c r="Y53" s="48">
        <v>500</v>
      </c>
      <c r="Z53" s="48"/>
      <c r="AA53" s="48"/>
      <c r="AB53" s="48"/>
      <c r="AC53" s="48"/>
      <c r="AD53" s="48"/>
      <c r="AE53" s="48"/>
      <c r="AF53" s="48"/>
      <c r="AG53" s="48"/>
      <c r="AH53" s="48"/>
      <c r="AI53" s="48"/>
    </row>
    <row r="54" spans="1:35" ht="13.5" customHeight="1" x14ac:dyDescent="0.25">
      <c r="A54" s="141" t="s">
        <v>140</v>
      </c>
      <c r="B54" s="144" t="s">
        <v>122</v>
      </c>
      <c r="C54" s="141" t="s">
        <v>141</v>
      </c>
      <c r="D54" s="143">
        <f t="shared" ref="D54:AI54" si="4">SUM(D55:D100)</f>
        <v>1909698</v>
      </c>
      <c r="E54" s="143">
        <f t="shared" si="4"/>
        <v>0</v>
      </c>
      <c r="F54" s="143">
        <f t="shared" si="4"/>
        <v>0</v>
      </c>
      <c r="G54" s="143">
        <f t="shared" si="4"/>
        <v>0</v>
      </c>
      <c r="H54" s="143">
        <f t="shared" si="4"/>
        <v>2319</v>
      </c>
      <c r="I54" s="143">
        <f t="shared" si="4"/>
        <v>1100</v>
      </c>
      <c r="J54" s="143">
        <f t="shared" si="4"/>
        <v>59500</v>
      </c>
      <c r="K54" s="143">
        <f t="shared" si="4"/>
        <v>95000</v>
      </c>
      <c r="L54" s="143">
        <f t="shared" si="4"/>
        <v>70000</v>
      </c>
      <c r="M54" s="143">
        <f t="shared" si="4"/>
        <v>100000</v>
      </c>
      <c r="N54" s="143">
        <f t="shared" si="4"/>
        <v>84500</v>
      </c>
      <c r="O54" s="143">
        <f t="shared" si="4"/>
        <v>113000</v>
      </c>
      <c r="P54" s="143">
        <f t="shared" si="4"/>
        <v>97000</v>
      </c>
      <c r="Q54" s="143">
        <f t="shared" si="4"/>
        <v>27800</v>
      </c>
      <c r="R54" s="143">
        <f t="shared" si="4"/>
        <v>0</v>
      </c>
      <c r="S54" s="143">
        <f t="shared" si="4"/>
        <v>0</v>
      </c>
      <c r="T54" s="143">
        <f t="shared" si="4"/>
        <v>0</v>
      </c>
      <c r="U54" s="143">
        <f t="shared" si="4"/>
        <v>36000</v>
      </c>
      <c r="V54" s="143">
        <f t="shared" si="4"/>
        <v>33280</v>
      </c>
      <c r="W54" s="143">
        <f t="shared" si="4"/>
        <v>146600</v>
      </c>
      <c r="X54" s="143">
        <f t="shared" si="4"/>
        <v>94000</v>
      </c>
      <c r="Y54" s="143">
        <f t="shared" si="4"/>
        <v>55000</v>
      </c>
      <c r="Z54" s="143">
        <f t="shared" si="4"/>
        <v>54000</v>
      </c>
      <c r="AA54" s="143">
        <f t="shared" si="4"/>
        <v>100000</v>
      </c>
      <c r="AB54" s="143">
        <f t="shared" si="4"/>
        <v>77700</v>
      </c>
      <c r="AC54" s="143">
        <f t="shared" si="4"/>
        <v>120400</v>
      </c>
      <c r="AD54" s="143">
        <f t="shared" si="4"/>
        <v>105000</v>
      </c>
      <c r="AE54" s="143">
        <f t="shared" si="4"/>
        <v>110000</v>
      </c>
      <c r="AF54" s="143">
        <f t="shared" si="4"/>
        <v>90000</v>
      </c>
      <c r="AG54" s="143">
        <f t="shared" si="4"/>
        <v>88000</v>
      </c>
      <c r="AH54" s="143">
        <f t="shared" si="4"/>
        <v>54000</v>
      </c>
      <c r="AI54" s="143">
        <f t="shared" si="4"/>
        <v>95499</v>
      </c>
    </row>
    <row r="55" spans="1:35" ht="13.5" customHeight="1" x14ac:dyDescent="0.25">
      <c r="A55" s="48">
        <v>1</v>
      </c>
      <c r="B55" s="176" t="s">
        <v>1059</v>
      </c>
      <c r="C55" s="176" t="s">
        <v>1057</v>
      </c>
      <c r="D55" s="150">
        <f t="shared" ref="D55:D100" si="5">SUM(E55:AI55)</f>
        <v>34000</v>
      </c>
      <c r="E55" s="137"/>
      <c r="F55" s="137"/>
      <c r="G55" s="137"/>
      <c r="H55" s="137"/>
      <c r="I55" s="35"/>
      <c r="J55" s="137"/>
      <c r="K55" s="35"/>
      <c r="L55" s="137"/>
      <c r="M55" s="137"/>
      <c r="N55" s="137"/>
      <c r="O55" s="137"/>
      <c r="P55" s="48">
        <v>10000</v>
      </c>
      <c r="Q55" s="137"/>
      <c r="R55" s="40"/>
      <c r="S55" s="137"/>
      <c r="T55" s="40"/>
      <c r="U55" s="40"/>
      <c r="V55" s="48"/>
      <c r="W55" s="48">
        <v>10000</v>
      </c>
      <c r="X55" s="137"/>
      <c r="Y55" s="137"/>
      <c r="Z55" s="137"/>
      <c r="AA55" s="137"/>
      <c r="AB55" s="137"/>
      <c r="AC55" s="48">
        <v>4000</v>
      </c>
      <c r="AD55" s="48"/>
      <c r="AE55" s="48">
        <v>10000</v>
      </c>
      <c r="AF55" s="137"/>
      <c r="AG55" s="48"/>
      <c r="AH55" s="137"/>
      <c r="AI55" s="137"/>
    </row>
    <row r="56" spans="1:35" ht="13.5" customHeight="1" x14ac:dyDescent="0.25">
      <c r="A56" s="48">
        <v>2</v>
      </c>
      <c r="B56" s="176" t="s">
        <v>1060</v>
      </c>
      <c r="C56" s="176" t="s">
        <v>1058</v>
      </c>
      <c r="D56" s="150">
        <f t="shared" si="5"/>
        <v>5000</v>
      </c>
      <c r="E56" s="137"/>
      <c r="F56" s="137"/>
      <c r="G56" s="137"/>
      <c r="H56" s="137"/>
      <c r="I56" s="35"/>
      <c r="J56" s="137"/>
      <c r="K56" s="35"/>
      <c r="L56" s="137"/>
      <c r="M56" s="137"/>
      <c r="N56" s="137"/>
      <c r="O56" s="48"/>
      <c r="P56" s="48">
        <v>2000</v>
      </c>
      <c r="Q56" s="137"/>
      <c r="R56" s="40"/>
      <c r="S56" s="137"/>
      <c r="T56" s="40"/>
      <c r="U56" s="137"/>
      <c r="V56" s="48"/>
      <c r="W56" s="137"/>
      <c r="X56" s="48"/>
      <c r="Y56" s="137"/>
      <c r="Z56" s="48">
        <v>3000</v>
      </c>
      <c r="AA56" s="137"/>
      <c r="AB56" s="137"/>
      <c r="AC56" s="137"/>
      <c r="AD56" s="48"/>
      <c r="AE56" s="137"/>
      <c r="AF56" s="137"/>
      <c r="AG56" s="48"/>
      <c r="AH56" s="137"/>
      <c r="AI56" s="137"/>
    </row>
    <row r="57" spans="1:35" ht="13.5" customHeight="1" x14ac:dyDescent="0.25">
      <c r="A57" s="48">
        <v>3</v>
      </c>
      <c r="B57" s="176" t="s">
        <v>857</v>
      </c>
      <c r="C57" s="176" t="s">
        <v>856</v>
      </c>
      <c r="D57" s="150">
        <f t="shared" si="5"/>
        <v>0</v>
      </c>
      <c r="E57" s="137"/>
      <c r="F57" s="137"/>
      <c r="G57" s="137"/>
      <c r="H57" s="137"/>
      <c r="I57" s="35"/>
      <c r="J57" s="137"/>
      <c r="K57" s="137"/>
      <c r="L57" s="35"/>
      <c r="M57" s="48"/>
      <c r="N57" s="137"/>
      <c r="O57" s="137"/>
      <c r="P57" s="137"/>
      <c r="Q57" s="48"/>
      <c r="R57" s="137"/>
      <c r="S57" s="137"/>
      <c r="T57" s="40"/>
      <c r="U57" s="137"/>
      <c r="V57" s="48"/>
      <c r="W57" s="137"/>
      <c r="X57" s="48"/>
      <c r="Y57" s="137"/>
      <c r="Z57" s="48"/>
      <c r="AA57" s="48"/>
      <c r="AB57" s="137"/>
      <c r="AC57" s="137"/>
      <c r="AD57" s="48"/>
      <c r="AE57" s="137"/>
      <c r="AF57" s="48"/>
      <c r="AG57" s="48"/>
      <c r="AH57" s="48"/>
      <c r="AI57" s="137"/>
    </row>
    <row r="58" spans="1:35" ht="13.5" customHeight="1" x14ac:dyDescent="0.25">
      <c r="A58" s="48">
        <v>4</v>
      </c>
      <c r="B58" s="166" t="s">
        <v>179</v>
      </c>
      <c r="C58" s="166" t="s">
        <v>178</v>
      </c>
      <c r="D58" s="150">
        <f t="shared" si="5"/>
        <v>215000</v>
      </c>
      <c r="E58" s="137"/>
      <c r="F58" s="137"/>
      <c r="G58" s="137"/>
      <c r="H58" s="35"/>
      <c r="I58" s="35"/>
      <c r="J58" s="35"/>
      <c r="K58" s="35"/>
      <c r="L58" s="35"/>
      <c r="M58" s="48">
        <v>30000</v>
      </c>
      <c r="N58" s="48"/>
      <c r="O58" s="48">
        <v>50000</v>
      </c>
      <c r="P58" s="48"/>
      <c r="Q58" s="48"/>
      <c r="R58" s="40"/>
      <c r="S58" s="40"/>
      <c r="T58" s="40"/>
      <c r="U58" s="40"/>
      <c r="V58" s="48"/>
      <c r="W58" s="48">
        <v>40000</v>
      </c>
      <c r="X58" s="48"/>
      <c r="Y58" s="48"/>
      <c r="Z58" s="48"/>
      <c r="AA58" s="48">
        <v>25000</v>
      </c>
      <c r="AB58" s="48">
        <v>30000</v>
      </c>
      <c r="AC58" s="48">
        <v>30000</v>
      </c>
      <c r="AD58" s="48"/>
      <c r="AE58" s="48"/>
      <c r="AF58" s="48">
        <v>10000</v>
      </c>
      <c r="AG58" s="48"/>
      <c r="AH58" s="48"/>
      <c r="AI58" s="137"/>
    </row>
    <row r="59" spans="1:35" ht="13.5" customHeight="1" x14ac:dyDescent="0.25">
      <c r="A59" s="48">
        <v>5</v>
      </c>
      <c r="B59" s="156" t="s">
        <v>774</v>
      </c>
      <c r="C59" s="156" t="s">
        <v>773</v>
      </c>
      <c r="D59" s="150">
        <f t="shared" si="5"/>
        <v>6500</v>
      </c>
      <c r="E59" s="48"/>
      <c r="F59" s="48"/>
      <c r="G59" s="35"/>
      <c r="H59" s="35"/>
      <c r="I59" s="35"/>
      <c r="J59" s="35"/>
      <c r="K59" s="35"/>
      <c r="L59" s="35"/>
      <c r="M59" s="48"/>
      <c r="N59" s="48">
        <v>1500</v>
      </c>
      <c r="O59" s="48"/>
      <c r="P59" s="48"/>
      <c r="Q59" s="48"/>
      <c r="R59" s="40"/>
      <c r="S59" s="40"/>
      <c r="T59" s="40"/>
      <c r="U59" s="40">
        <v>5000</v>
      </c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ht="13.5" customHeight="1" x14ac:dyDescent="0.25">
      <c r="A60" s="48">
        <v>6</v>
      </c>
      <c r="B60" s="176" t="s">
        <v>879</v>
      </c>
      <c r="C60" s="176" t="s">
        <v>878</v>
      </c>
      <c r="D60" s="150">
        <f t="shared" si="5"/>
        <v>13000</v>
      </c>
      <c r="E60" s="48"/>
      <c r="F60" s="48"/>
      <c r="G60" s="35"/>
      <c r="H60" s="35"/>
      <c r="I60" s="35"/>
      <c r="J60" s="35"/>
      <c r="K60" s="35"/>
      <c r="L60" s="35"/>
      <c r="M60" s="48"/>
      <c r="N60" s="48"/>
      <c r="O60" s="48">
        <v>13000</v>
      </c>
      <c r="P60" s="48"/>
      <c r="Q60" s="48"/>
      <c r="R60" s="40"/>
      <c r="S60" s="40"/>
      <c r="T60" s="40"/>
      <c r="U60" s="40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ht="13.5" customHeight="1" x14ac:dyDescent="0.25">
      <c r="A61" s="48">
        <v>7</v>
      </c>
      <c r="B61" s="166" t="s">
        <v>471</v>
      </c>
      <c r="C61" s="166" t="s">
        <v>470</v>
      </c>
      <c r="D61" s="150">
        <f t="shared" si="5"/>
        <v>0</v>
      </c>
      <c r="E61" s="48"/>
      <c r="F61" s="48"/>
      <c r="G61" s="35"/>
      <c r="H61" s="35"/>
      <c r="I61" s="35"/>
      <c r="J61" s="35"/>
      <c r="K61" s="35"/>
      <c r="L61" s="35"/>
      <c r="M61" s="48"/>
      <c r="N61" s="48"/>
      <c r="O61" s="48"/>
      <c r="P61" s="48"/>
      <c r="Q61" s="48"/>
      <c r="R61" s="40"/>
      <c r="S61" s="40"/>
      <c r="T61" s="40"/>
      <c r="U61" s="40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ht="13.5" customHeight="1" x14ac:dyDescent="0.25">
      <c r="A62" s="48">
        <v>8</v>
      </c>
      <c r="B62" s="176" t="s">
        <v>1096</v>
      </c>
      <c r="C62" s="176" t="s">
        <v>1095</v>
      </c>
      <c r="D62" s="150">
        <f t="shared" si="5"/>
        <v>4000</v>
      </c>
      <c r="E62" s="48"/>
      <c r="F62" s="48"/>
      <c r="G62" s="35"/>
      <c r="H62" s="35"/>
      <c r="I62" s="35"/>
      <c r="J62" s="35"/>
      <c r="K62" s="35"/>
      <c r="L62" s="35"/>
      <c r="M62" s="48"/>
      <c r="N62" s="48"/>
      <c r="O62" s="48"/>
      <c r="P62" s="48"/>
      <c r="Q62" s="48"/>
      <c r="R62" s="40"/>
      <c r="S62" s="40"/>
      <c r="T62" s="40"/>
      <c r="U62" s="40"/>
      <c r="V62" s="48"/>
      <c r="W62" s="48"/>
      <c r="X62" s="48">
        <v>4000</v>
      </c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ht="13.5" customHeight="1" x14ac:dyDescent="0.25">
      <c r="A63" s="48">
        <v>9</v>
      </c>
      <c r="B63" s="166" t="s">
        <v>332</v>
      </c>
      <c r="C63" s="166" t="s">
        <v>331</v>
      </c>
      <c r="D63" s="150">
        <f t="shared" si="5"/>
        <v>1052800</v>
      </c>
      <c r="E63" s="48"/>
      <c r="F63" s="48"/>
      <c r="G63" s="35"/>
      <c r="H63" s="35"/>
      <c r="I63" s="35"/>
      <c r="J63" s="35">
        <v>20000</v>
      </c>
      <c r="K63" s="35">
        <v>60000</v>
      </c>
      <c r="L63" s="35">
        <v>70000</v>
      </c>
      <c r="M63" s="48">
        <v>70000</v>
      </c>
      <c r="N63" s="48">
        <v>50000</v>
      </c>
      <c r="O63" s="48">
        <v>30000</v>
      </c>
      <c r="P63" s="48">
        <v>50000</v>
      </c>
      <c r="Q63" s="48">
        <v>27800</v>
      </c>
      <c r="R63" s="40"/>
      <c r="S63" s="40"/>
      <c r="T63" s="40"/>
      <c r="U63" s="40"/>
      <c r="V63" s="48"/>
      <c r="W63" s="48">
        <v>40000</v>
      </c>
      <c r="X63" s="48">
        <v>80000</v>
      </c>
      <c r="Y63" s="48">
        <v>50000</v>
      </c>
      <c r="Z63" s="48">
        <v>30000</v>
      </c>
      <c r="AA63" s="48">
        <v>40000</v>
      </c>
      <c r="AB63" s="48"/>
      <c r="AC63" s="48">
        <v>25000</v>
      </c>
      <c r="AD63" s="48">
        <v>70000</v>
      </c>
      <c r="AE63" s="48">
        <v>60000</v>
      </c>
      <c r="AF63" s="48">
        <v>65000</v>
      </c>
      <c r="AG63" s="48">
        <v>70000</v>
      </c>
      <c r="AH63" s="48">
        <v>50000</v>
      </c>
      <c r="AI63" s="48">
        <f>65000+30000</f>
        <v>95000</v>
      </c>
    </row>
    <row r="64" spans="1:35" ht="13.5" customHeight="1" x14ac:dyDescent="0.25">
      <c r="A64" s="48">
        <v>10</v>
      </c>
      <c r="B64" s="166" t="s">
        <v>201</v>
      </c>
      <c r="C64" s="166" t="s">
        <v>200</v>
      </c>
      <c r="D64" s="150">
        <f t="shared" si="5"/>
        <v>5000</v>
      </c>
      <c r="E64" s="48"/>
      <c r="F64" s="48"/>
      <c r="G64" s="35"/>
      <c r="H64" s="35"/>
      <c r="I64" s="35"/>
      <c r="J64" s="35">
        <v>3000</v>
      </c>
      <c r="K64" s="35"/>
      <c r="L64" s="35"/>
      <c r="M64" s="48"/>
      <c r="N64" s="48"/>
      <c r="O64" s="48"/>
      <c r="P64" s="48"/>
      <c r="Q64" s="48"/>
      <c r="R64" s="40"/>
      <c r="S64" s="40"/>
      <c r="T64" s="40"/>
      <c r="U64" s="40"/>
      <c r="V64" s="48"/>
      <c r="W64" s="48"/>
      <c r="X64" s="48"/>
      <c r="Y64" s="48"/>
      <c r="Z64" s="48"/>
      <c r="AA64" s="48"/>
      <c r="AB64" s="48">
        <v>2000</v>
      </c>
      <c r="AC64" s="48"/>
      <c r="AD64" s="48"/>
      <c r="AE64" s="48"/>
      <c r="AF64" s="48"/>
      <c r="AG64" s="48"/>
      <c r="AH64" s="48"/>
      <c r="AI64" s="48"/>
    </row>
    <row r="65" spans="1:35" ht="13.5" customHeight="1" x14ac:dyDescent="0.25">
      <c r="A65" s="48">
        <v>11</v>
      </c>
      <c r="B65" s="166" t="s">
        <v>613</v>
      </c>
      <c r="C65" s="166" t="s">
        <v>611</v>
      </c>
      <c r="D65" s="150">
        <f t="shared" si="5"/>
        <v>4500</v>
      </c>
      <c r="E65" s="48"/>
      <c r="F65" s="48"/>
      <c r="G65" s="35"/>
      <c r="H65" s="35"/>
      <c r="I65" s="35"/>
      <c r="J65" s="35">
        <v>3500</v>
      </c>
      <c r="K65" s="35"/>
      <c r="L65" s="35"/>
      <c r="M65" s="48"/>
      <c r="N65" s="48"/>
      <c r="O65" s="48"/>
      <c r="P65" s="48"/>
      <c r="Q65" s="48"/>
      <c r="R65" s="40"/>
      <c r="S65" s="40"/>
      <c r="T65" s="40"/>
      <c r="U65" s="40"/>
      <c r="V65" s="48"/>
      <c r="W65" s="48"/>
      <c r="X65" s="48"/>
      <c r="Y65" s="48"/>
      <c r="Z65" s="48"/>
      <c r="AA65" s="48"/>
      <c r="AB65" s="48">
        <v>1000</v>
      </c>
      <c r="AC65" s="48"/>
      <c r="AD65" s="48"/>
      <c r="AE65" s="48"/>
      <c r="AF65" s="48"/>
      <c r="AG65" s="48"/>
      <c r="AH65" s="48"/>
      <c r="AI65" s="48"/>
    </row>
    <row r="66" spans="1:35" ht="13.5" customHeight="1" x14ac:dyDescent="0.25">
      <c r="A66" s="48">
        <v>12</v>
      </c>
      <c r="B66" s="166" t="s">
        <v>614</v>
      </c>
      <c r="C66" s="166" t="s">
        <v>612</v>
      </c>
      <c r="D66" s="150">
        <f t="shared" si="5"/>
        <v>3419</v>
      </c>
      <c r="E66" s="48"/>
      <c r="F66" s="48"/>
      <c r="G66" s="35"/>
      <c r="H66" s="35">
        <v>2319</v>
      </c>
      <c r="I66" s="35">
        <v>1100</v>
      </c>
      <c r="J66" s="35"/>
      <c r="K66" s="35"/>
      <c r="L66" s="35"/>
      <c r="M66" s="48"/>
      <c r="N66" s="48"/>
      <c r="O66" s="48"/>
      <c r="P66" s="48"/>
      <c r="Q66" s="48"/>
      <c r="R66" s="40"/>
      <c r="S66" s="40"/>
      <c r="T66" s="40"/>
      <c r="U66" s="40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1:35" ht="13.5" customHeight="1" x14ac:dyDescent="0.25">
      <c r="A67" s="48">
        <v>13</v>
      </c>
      <c r="B67" s="166" t="s">
        <v>429</v>
      </c>
      <c r="C67" s="166" t="s">
        <v>428</v>
      </c>
      <c r="D67" s="150">
        <f t="shared" si="5"/>
        <v>185000</v>
      </c>
      <c r="E67" s="48"/>
      <c r="F67" s="48"/>
      <c r="G67" s="35"/>
      <c r="H67" s="35"/>
      <c r="I67" s="35"/>
      <c r="J67" s="35">
        <v>25000</v>
      </c>
      <c r="K67" s="35">
        <v>25000</v>
      </c>
      <c r="L67" s="35"/>
      <c r="M67" s="48"/>
      <c r="N67" s="48"/>
      <c r="O67" s="48"/>
      <c r="P67" s="48">
        <v>25000</v>
      </c>
      <c r="Q67" s="48"/>
      <c r="R67" s="40"/>
      <c r="S67" s="40"/>
      <c r="T67" s="40"/>
      <c r="U67" s="40">
        <v>25000</v>
      </c>
      <c r="V67" s="48"/>
      <c r="W67" s="48">
        <v>25000</v>
      </c>
      <c r="X67" s="48"/>
      <c r="Y67" s="48"/>
      <c r="Z67" s="48"/>
      <c r="AA67" s="48"/>
      <c r="AB67" s="48">
        <v>20000</v>
      </c>
      <c r="AC67" s="48"/>
      <c r="AD67" s="48">
        <v>20000</v>
      </c>
      <c r="AE67" s="48">
        <v>20000</v>
      </c>
      <c r="AF67" s="48"/>
      <c r="AG67" s="48"/>
      <c r="AH67" s="48"/>
      <c r="AI67" s="48"/>
    </row>
    <row r="68" spans="1:35" ht="13.5" customHeight="1" x14ac:dyDescent="0.25">
      <c r="A68" s="48">
        <v>14</v>
      </c>
      <c r="B68" s="166" t="s">
        <v>994</v>
      </c>
      <c r="C68" s="166" t="s">
        <v>993</v>
      </c>
      <c r="D68" s="150">
        <f t="shared" si="5"/>
        <v>6000</v>
      </c>
      <c r="E68" s="48"/>
      <c r="F68" s="48"/>
      <c r="G68" s="35"/>
      <c r="H68" s="35"/>
      <c r="I68" s="35"/>
      <c r="J68" s="35">
        <v>1000</v>
      </c>
      <c r="K68" s="35"/>
      <c r="L68" s="35"/>
      <c r="M68" s="48"/>
      <c r="N68" s="48"/>
      <c r="O68" s="48"/>
      <c r="P68" s="48"/>
      <c r="Q68" s="48"/>
      <c r="R68" s="40"/>
      <c r="S68" s="40"/>
      <c r="T68" s="40"/>
      <c r="U68" s="40"/>
      <c r="V68" s="48"/>
      <c r="W68" s="48"/>
      <c r="X68" s="48"/>
      <c r="Y68" s="48"/>
      <c r="Z68" s="48">
        <v>5000</v>
      </c>
      <c r="AA68" s="48"/>
      <c r="AB68" s="48"/>
      <c r="AC68" s="48"/>
      <c r="AD68" s="48"/>
      <c r="AE68" s="48"/>
      <c r="AF68" s="48"/>
      <c r="AG68" s="48"/>
      <c r="AH68" s="48"/>
      <c r="AI68" s="48"/>
    </row>
    <row r="69" spans="1:35" ht="13.5" customHeight="1" x14ac:dyDescent="0.25">
      <c r="A69" s="48">
        <v>15</v>
      </c>
      <c r="B69" s="166" t="s">
        <v>831</v>
      </c>
      <c r="C69" s="166" t="s">
        <v>829</v>
      </c>
      <c r="D69" s="150">
        <f t="shared" si="5"/>
        <v>4000</v>
      </c>
      <c r="E69" s="48"/>
      <c r="F69" s="48"/>
      <c r="G69" s="35"/>
      <c r="H69" s="35"/>
      <c r="I69" s="35"/>
      <c r="J69" s="35"/>
      <c r="K69" s="35"/>
      <c r="L69" s="35"/>
      <c r="M69" s="48"/>
      <c r="N69" s="48">
        <v>4000</v>
      </c>
      <c r="O69" s="48"/>
      <c r="P69" s="48"/>
      <c r="Q69" s="48"/>
      <c r="R69" s="40"/>
      <c r="S69" s="40"/>
      <c r="T69" s="40"/>
      <c r="U69" s="40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</row>
    <row r="70" spans="1:35" ht="13.5" customHeight="1" x14ac:dyDescent="0.25">
      <c r="A70" s="48">
        <v>16</v>
      </c>
      <c r="B70" s="166" t="s">
        <v>832</v>
      </c>
      <c r="C70" s="166" t="s">
        <v>830</v>
      </c>
      <c r="D70" s="150">
        <f t="shared" si="5"/>
        <v>1000</v>
      </c>
      <c r="E70" s="48"/>
      <c r="F70" s="48"/>
      <c r="G70" s="35"/>
      <c r="H70" s="35"/>
      <c r="I70" s="35"/>
      <c r="J70" s="35"/>
      <c r="K70" s="35"/>
      <c r="L70" s="35"/>
      <c r="M70" s="48"/>
      <c r="N70" s="48">
        <v>1000</v>
      </c>
      <c r="O70" s="48"/>
      <c r="P70" s="48"/>
      <c r="Q70" s="48"/>
      <c r="R70" s="40"/>
      <c r="S70" s="40"/>
      <c r="T70" s="40"/>
      <c r="U70" s="40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</row>
    <row r="71" spans="1:35" ht="13.5" customHeight="1" x14ac:dyDescent="0.25">
      <c r="A71" s="48">
        <v>17</v>
      </c>
      <c r="B71" s="166" t="s">
        <v>522</v>
      </c>
      <c r="C71" s="166" t="s">
        <v>521</v>
      </c>
      <c r="D71" s="150">
        <f t="shared" si="5"/>
        <v>1400</v>
      </c>
      <c r="E71" s="48"/>
      <c r="F71" s="48"/>
      <c r="G71" s="35"/>
      <c r="H71" s="35"/>
      <c r="I71" s="35"/>
      <c r="J71" s="35"/>
      <c r="K71" s="35"/>
      <c r="L71" s="35"/>
      <c r="M71" s="48"/>
      <c r="N71" s="48"/>
      <c r="O71" s="48"/>
      <c r="P71" s="48"/>
      <c r="Q71" s="48"/>
      <c r="R71" s="40"/>
      <c r="S71" s="40"/>
      <c r="T71" s="40"/>
      <c r="U71" s="40"/>
      <c r="V71" s="48"/>
      <c r="W71" s="48"/>
      <c r="X71" s="48"/>
      <c r="Y71" s="48"/>
      <c r="Z71" s="48"/>
      <c r="AA71" s="48"/>
      <c r="AB71" s="48"/>
      <c r="AC71" s="48">
        <v>1400</v>
      </c>
      <c r="AD71" s="48"/>
      <c r="AE71" s="48"/>
      <c r="AF71" s="48"/>
      <c r="AG71" s="48"/>
      <c r="AH71" s="48"/>
      <c r="AI71" s="48"/>
    </row>
    <row r="72" spans="1:35" ht="13.5" customHeight="1" x14ac:dyDescent="0.25">
      <c r="A72" s="48">
        <v>18</v>
      </c>
      <c r="B72" s="166" t="s">
        <v>524</v>
      </c>
      <c r="C72" s="166" t="s">
        <v>523</v>
      </c>
      <c r="D72" s="150">
        <f t="shared" si="5"/>
        <v>10000</v>
      </c>
      <c r="E72" s="48"/>
      <c r="F72" s="48"/>
      <c r="G72" s="35"/>
      <c r="H72" s="35"/>
      <c r="I72" s="35"/>
      <c r="J72" s="35"/>
      <c r="K72" s="35"/>
      <c r="L72" s="35"/>
      <c r="M72" s="48"/>
      <c r="N72" s="48"/>
      <c r="O72" s="48"/>
      <c r="P72" s="48"/>
      <c r="Q72" s="48"/>
      <c r="R72" s="40"/>
      <c r="S72" s="40"/>
      <c r="T72" s="40"/>
      <c r="U72" s="40"/>
      <c r="V72" s="48"/>
      <c r="W72" s="48"/>
      <c r="X72" s="48">
        <v>10000</v>
      </c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</row>
    <row r="73" spans="1:35" ht="13.5" customHeight="1" x14ac:dyDescent="0.25">
      <c r="A73" s="48">
        <v>19</v>
      </c>
      <c r="B73" s="166" t="s">
        <v>533</v>
      </c>
      <c r="C73" s="166" t="s">
        <v>532</v>
      </c>
      <c r="D73" s="150">
        <f t="shared" si="5"/>
        <v>0</v>
      </c>
      <c r="E73" s="48"/>
      <c r="F73" s="48"/>
      <c r="G73" s="35"/>
      <c r="H73" s="35"/>
      <c r="I73" s="35"/>
      <c r="J73" s="35"/>
      <c r="K73" s="35"/>
      <c r="L73" s="35"/>
      <c r="M73" s="48"/>
      <c r="N73" s="48"/>
      <c r="O73" s="48"/>
      <c r="P73" s="48"/>
      <c r="Q73" s="48"/>
      <c r="R73" s="40"/>
      <c r="S73" s="40"/>
      <c r="T73" s="40"/>
      <c r="U73" s="40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</row>
    <row r="74" spans="1:35" ht="13.5" customHeight="1" x14ac:dyDescent="0.25">
      <c r="A74" s="48">
        <v>20</v>
      </c>
      <c r="B74" s="166" t="s">
        <v>738</v>
      </c>
      <c r="C74" s="166" t="s">
        <v>737</v>
      </c>
      <c r="D74" s="150">
        <f t="shared" si="5"/>
        <v>6000</v>
      </c>
      <c r="E74" s="48"/>
      <c r="F74" s="48"/>
      <c r="G74" s="35"/>
      <c r="H74" s="35"/>
      <c r="I74" s="35"/>
      <c r="J74" s="35"/>
      <c r="K74" s="35"/>
      <c r="L74" s="35"/>
      <c r="M74" s="48"/>
      <c r="N74" s="48"/>
      <c r="O74" s="48"/>
      <c r="P74" s="48"/>
      <c r="Q74" s="48"/>
      <c r="R74" s="40"/>
      <c r="S74" s="40"/>
      <c r="T74" s="40"/>
      <c r="U74" s="40"/>
      <c r="V74" s="48"/>
      <c r="W74" s="48"/>
      <c r="X74" s="48"/>
      <c r="Y74" s="48"/>
      <c r="Z74" s="48">
        <v>6000</v>
      </c>
      <c r="AA74" s="48"/>
      <c r="AB74" s="48"/>
      <c r="AC74" s="48"/>
      <c r="AD74" s="48"/>
      <c r="AE74" s="48"/>
      <c r="AF74" s="48"/>
      <c r="AG74" s="48"/>
      <c r="AH74" s="48"/>
      <c r="AI74" s="48"/>
    </row>
    <row r="75" spans="1:35" ht="13.5" customHeight="1" x14ac:dyDescent="0.25">
      <c r="A75" s="48">
        <v>21</v>
      </c>
      <c r="B75" s="166" t="s">
        <v>246</v>
      </c>
      <c r="C75" s="166" t="s">
        <v>245</v>
      </c>
      <c r="D75" s="150">
        <f t="shared" si="5"/>
        <v>20000</v>
      </c>
      <c r="E75" s="48"/>
      <c r="F75" s="48"/>
      <c r="G75" s="35"/>
      <c r="H75" s="35"/>
      <c r="I75" s="35"/>
      <c r="J75" s="35"/>
      <c r="K75" s="35">
        <v>10000</v>
      </c>
      <c r="L75" s="35"/>
      <c r="M75" s="48"/>
      <c r="N75" s="48"/>
      <c r="O75" s="48"/>
      <c r="P75" s="48"/>
      <c r="Q75" s="48"/>
      <c r="R75" s="40"/>
      <c r="S75" s="40"/>
      <c r="T75" s="40"/>
      <c r="U75" s="40"/>
      <c r="V75" s="48"/>
      <c r="W75" s="48"/>
      <c r="X75" s="48"/>
      <c r="Y75" s="48"/>
      <c r="Z75" s="48"/>
      <c r="AA75" s="48"/>
      <c r="AB75" s="48"/>
      <c r="AC75" s="48"/>
      <c r="AD75" s="48">
        <v>10000</v>
      </c>
      <c r="AE75" s="48"/>
      <c r="AF75" s="48"/>
      <c r="AG75" s="48"/>
      <c r="AH75" s="48"/>
      <c r="AI75" s="48"/>
    </row>
    <row r="76" spans="1:35" ht="13.5" customHeight="1" x14ac:dyDescent="0.25">
      <c r="A76" s="48">
        <v>22</v>
      </c>
      <c r="B76" s="166" t="s">
        <v>750</v>
      </c>
      <c r="C76" s="166" t="s">
        <v>749</v>
      </c>
      <c r="D76" s="150">
        <f t="shared" si="5"/>
        <v>0</v>
      </c>
      <c r="E76" s="48"/>
      <c r="F76" s="48"/>
      <c r="G76" s="35"/>
      <c r="H76" s="35"/>
      <c r="I76" s="35"/>
      <c r="J76" s="35"/>
      <c r="K76" s="35"/>
      <c r="L76" s="35"/>
      <c r="M76" s="48"/>
      <c r="N76" s="48"/>
      <c r="O76" s="48"/>
      <c r="P76" s="48"/>
      <c r="Q76" s="48"/>
      <c r="R76" s="40"/>
      <c r="S76" s="40"/>
      <c r="T76" s="40"/>
      <c r="U76" s="40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</row>
    <row r="77" spans="1:35" ht="13.5" customHeight="1" x14ac:dyDescent="0.25">
      <c r="A77" s="48">
        <v>23</v>
      </c>
      <c r="B77" s="166" t="s">
        <v>312</v>
      </c>
      <c r="C77" s="166" t="s">
        <v>311</v>
      </c>
      <c r="D77" s="150">
        <f t="shared" si="5"/>
        <v>10500</v>
      </c>
      <c r="E77" s="48"/>
      <c r="F77" s="48"/>
      <c r="G77" s="35"/>
      <c r="H77" s="35"/>
      <c r="I77" s="35"/>
      <c r="J77" s="35"/>
      <c r="K77" s="35"/>
      <c r="L77" s="35"/>
      <c r="M77" s="48"/>
      <c r="N77" s="48"/>
      <c r="O77" s="48"/>
      <c r="P77" s="48"/>
      <c r="Q77" s="48"/>
      <c r="R77" s="40"/>
      <c r="S77" s="40"/>
      <c r="T77" s="40"/>
      <c r="U77" s="40"/>
      <c r="V77" s="48">
        <v>5500</v>
      </c>
      <c r="W77" s="48"/>
      <c r="X77" s="48"/>
      <c r="Y77" s="48"/>
      <c r="Z77" s="48"/>
      <c r="AA77" s="48"/>
      <c r="AB77" s="48"/>
      <c r="AC77" s="48">
        <v>5000</v>
      </c>
      <c r="AD77" s="48"/>
      <c r="AE77" s="48"/>
      <c r="AF77" s="48"/>
      <c r="AG77" s="48"/>
      <c r="AH77" s="48"/>
      <c r="AI77" s="48"/>
    </row>
    <row r="78" spans="1:35" ht="13.5" customHeight="1" x14ac:dyDescent="0.25">
      <c r="A78" s="48">
        <v>24</v>
      </c>
      <c r="B78" s="166" t="s">
        <v>169</v>
      </c>
      <c r="C78" s="166" t="s">
        <v>168</v>
      </c>
      <c r="D78" s="150">
        <f t="shared" si="5"/>
        <v>10000</v>
      </c>
      <c r="E78" s="48"/>
      <c r="F78" s="48"/>
      <c r="G78" s="35"/>
      <c r="H78" s="35"/>
      <c r="I78" s="35"/>
      <c r="J78" s="35"/>
      <c r="K78" s="35"/>
      <c r="L78" s="35"/>
      <c r="M78" s="48"/>
      <c r="N78" s="48"/>
      <c r="O78" s="48">
        <v>10000</v>
      </c>
      <c r="P78" s="48"/>
      <c r="Q78" s="48"/>
      <c r="R78" s="40"/>
      <c r="S78" s="40"/>
      <c r="T78" s="40"/>
      <c r="U78" s="40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</row>
    <row r="79" spans="1:35" ht="13.5" customHeight="1" x14ac:dyDescent="0.25">
      <c r="A79" s="48">
        <v>25</v>
      </c>
      <c r="B79" s="166" t="s">
        <v>324</v>
      </c>
      <c r="C79" s="166" t="s">
        <v>323</v>
      </c>
      <c r="D79" s="150">
        <f t="shared" si="5"/>
        <v>39500</v>
      </c>
      <c r="E79" s="137"/>
      <c r="F79" s="137"/>
      <c r="G79" s="137"/>
      <c r="H79" s="137"/>
      <c r="I79" s="35"/>
      <c r="J79" s="137"/>
      <c r="K79" s="137"/>
      <c r="L79" s="137"/>
      <c r="M79" s="137"/>
      <c r="N79" s="137"/>
      <c r="O79" s="48">
        <v>10000</v>
      </c>
      <c r="P79" s="48"/>
      <c r="Q79" s="48"/>
      <c r="R79" s="40"/>
      <c r="S79" s="40"/>
      <c r="T79" s="40"/>
      <c r="U79" s="137"/>
      <c r="V79" s="48">
        <v>11500</v>
      </c>
      <c r="W79" s="137"/>
      <c r="X79" s="48"/>
      <c r="Y79" s="137"/>
      <c r="Z79" s="48"/>
      <c r="AA79" s="48"/>
      <c r="AB79" s="137"/>
      <c r="AC79" s="48"/>
      <c r="AD79" s="137"/>
      <c r="AE79" s="48">
        <v>10000</v>
      </c>
      <c r="AF79" s="48"/>
      <c r="AG79" s="48">
        <v>8000</v>
      </c>
      <c r="AH79" s="48"/>
      <c r="AI79" s="48"/>
    </row>
    <row r="80" spans="1:35" ht="13.5" customHeight="1" x14ac:dyDescent="0.25">
      <c r="A80" s="48">
        <v>26</v>
      </c>
      <c r="B80" s="166" t="s">
        <v>508</v>
      </c>
      <c r="C80" s="166" t="s">
        <v>507</v>
      </c>
      <c r="D80" s="150">
        <f t="shared" si="5"/>
        <v>0</v>
      </c>
      <c r="E80" s="48"/>
      <c r="F80" s="48"/>
      <c r="G80" s="35"/>
      <c r="H80" s="35"/>
      <c r="I80" s="35"/>
      <c r="J80" s="35"/>
      <c r="K80" s="35"/>
      <c r="L80" s="35"/>
      <c r="M80" s="48"/>
      <c r="N80" s="48"/>
      <c r="O80" s="48"/>
      <c r="P80" s="48"/>
      <c r="Q80" s="48"/>
      <c r="R80" s="40"/>
      <c r="S80" s="40"/>
      <c r="T80" s="40"/>
      <c r="U80" s="40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</row>
    <row r="81" spans="1:35" ht="13.5" customHeight="1" x14ac:dyDescent="0.25">
      <c r="A81" s="48">
        <v>27</v>
      </c>
      <c r="B81" s="166" t="s">
        <v>250</v>
      </c>
      <c r="C81" s="166" t="s">
        <v>249</v>
      </c>
      <c r="D81" s="150">
        <f t="shared" si="5"/>
        <v>0</v>
      </c>
      <c r="E81" s="48"/>
      <c r="F81" s="48"/>
      <c r="G81" s="35"/>
      <c r="H81" s="35"/>
      <c r="I81" s="35"/>
      <c r="J81" s="35"/>
      <c r="K81" s="35"/>
      <c r="L81" s="35"/>
      <c r="M81" s="48"/>
      <c r="N81" s="48"/>
      <c r="O81" s="48"/>
      <c r="P81" s="48"/>
      <c r="Q81" s="48"/>
      <c r="R81" s="40"/>
      <c r="S81" s="40"/>
      <c r="T81" s="40"/>
      <c r="U81" s="40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</row>
    <row r="82" spans="1:35" ht="13.5" customHeight="1" x14ac:dyDescent="0.25">
      <c r="A82" s="48">
        <v>28</v>
      </c>
      <c r="B82" s="166" t="s">
        <v>479</v>
      </c>
      <c r="C82" s="166" t="s">
        <v>478</v>
      </c>
      <c r="D82" s="150">
        <f t="shared" si="5"/>
        <v>50000</v>
      </c>
      <c r="E82" s="48"/>
      <c r="F82" s="48"/>
      <c r="G82" s="35"/>
      <c r="H82" s="35"/>
      <c r="I82" s="35"/>
      <c r="J82" s="35"/>
      <c r="K82" s="35"/>
      <c r="L82" s="35"/>
      <c r="M82" s="48"/>
      <c r="N82" s="48"/>
      <c r="O82" s="48"/>
      <c r="P82" s="48">
        <v>10000</v>
      </c>
      <c r="Q82" s="48"/>
      <c r="R82" s="40"/>
      <c r="S82" s="40"/>
      <c r="T82" s="40"/>
      <c r="U82" s="40"/>
      <c r="V82" s="48"/>
      <c r="W82" s="48"/>
      <c r="X82" s="48"/>
      <c r="Y82" s="48"/>
      <c r="Z82" s="48"/>
      <c r="AA82" s="48">
        <v>20000</v>
      </c>
      <c r="AB82" s="48">
        <v>20000</v>
      </c>
      <c r="AC82" s="48"/>
      <c r="AD82" s="48"/>
      <c r="AE82" s="48"/>
      <c r="AF82" s="48"/>
      <c r="AG82" s="48"/>
      <c r="AH82" s="48"/>
      <c r="AI82" s="48"/>
    </row>
    <row r="83" spans="1:35" ht="13.5" customHeight="1" x14ac:dyDescent="0.25">
      <c r="A83" s="48">
        <v>29</v>
      </c>
      <c r="B83" s="166" t="s">
        <v>480</v>
      </c>
      <c r="C83" s="166" t="s">
        <v>481</v>
      </c>
      <c r="D83" s="150">
        <f t="shared" si="5"/>
        <v>0</v>
      </c>
      <c r="E83" s="48"/>
      <c r="F83" s="48"/>
      <c r="G83" s="35"/>
      <c r="H83" s="35"/>
      <c r="I83" s="35"/>
      <c r="J83" s="35"/>
      <c r="K83" s="35"/>
      <c r="L83" s="35"/>
      <c r="M83" s="48"/>
      <c r="N83" s="48"/>
      <c r="O83" s="48"/>
      <c r="P83" s="48"/>
      <c r="Q83" s="48"/>
      <c r="R83" s="40"/>
      <c r="S83" s="40"/>
      <c r="T83" s="40"/>
      <c r="U83" s="40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</row>
    <row r="84" spans="1:35" ht="13.5" customHeight="1" x14ac:dyDescent="0.25">
      <c r="A84" s="48">
        <v>30</v>
      </c>
      <c r="B84" s="166" t="s">
        <v>242</v>
      </c>
      <c r="C84" s="166" t="s">
        <v>241</v>
      </c>
      <c r="D84" s="150">
        <f t="shared" si="5"/>
        <v>69939</v>
      </c>
      <c r="E84" s="48"/>
      <c r="F84" s="48"/>
      <c r="G84" s="35"/>
      <c r="H84" s="35"/>
      <c r="I84" s="35"/>
      <c r="J84" s="35"/>
      <c r="K84" s="35"/>
      <c r="L84" s="35"/>
      <c r="M84" s="48"/>
      <c r="N84" s="48">
        <v>20000</v>
      </c>
      <c r="O84" s="48"/>
      <c r="P84" s="48"/>
      <c r="Q84" s="48"/>
      <c r="R84" s="40"/>
      <c r="S84" s="40"/>
      <c r="T84" s="40"/>
      <c r="U84" s="40"/>
      <c r="V84" s="48">
        <v>4440</v>
      </c>
      <c r="W84" s="48">
        <v>10000</v>
      </c>
      <c r="X84" s="48"/>
      <c r="Y84" s="48"/>
      <c r="Z84" s="48"/>
      <c r="AA84" s="48">
        <v>15000</v>
      </c>
      <c r="AB84" s="48"/>
      <c r="AC84" s="48"/>
      <c r="AD84" s="48"/>
      <c r="AE84" s="48"/>
      <c r="AF84" s="48">
        <v>10000</v>
      </c>
      <c r="AG84" s="48">
        <v>10000</v>
      </c>
      <c r="AH84" s="48"/>
      <c r="AI84" s="48">
        <v>499</v>
      </c>
    </row>
    <row r="85" spans="1:35" ht="13.5" customHeight="1" x14ac:dyDescent="0.25">
      <c r="A85" s="48">
        <v>31</v>
      </c>
      <c r="B85" s="166" t="s">
        <v>376</v>
      </c>
      <c r="C85" s="166" t="s">
        <v>375</v>
      </c>
      <c r="D85" s="150">
        <f t="shared" si="5"/>
        <v>0</v>
      </c>
      <c r="E85" s="48"/>
      <c r="F85" s="48"/>
      <c r="G85" s="35"/>
      <c r="H85" s="35"/>
      <c r="I85" s="35"/>
      <c r="J85" s="35"/>
      <c r="K85" s="35"/>
      <c r="L85" s="35"/>
      <c r="M85" s="48"/>
      <c r="N85" s="48"/>
      <c r="O85" s="48"/>
      <c r="P85" s="48"/>
      <c r="Q85" s="48"/>
      <c r="R85" s="40"/>
      <c r="S85" s="40"/>
      <c r="T85" s="40"/>
      <c r="U85" s="40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</row>
    <row r="86" spans="1:35" ht="13.5" customHeight="1" x14ac:dyDescent="0.25">
      <c r="A86" s="48">
        <v>32</v>
      </c>
      <c r="B86" s="166" t="s">
        <v>98</v>
      </c>
      <c r="C86" s="166" t="s">
        <v>99</v>
      </c>
      <c r="D86" s="150">
        <f t="shared" si="5"/>
        <v>0</v>
      </c>
      <c r="E86" s="48"/>
      <c r="F86" s="48"/>
      <c r="G86" s="35"/>
      <c r="H86" s="35"/>
      <c r="I86" s="35"/>
      <c r="J86" s="35"/>
      <c r="K86" s="35"/>
      <c r="L86" s="35"/>
      <c r="M86" s="48"/>
      <c r="N86" s="48"/>
      <c r="O86" s="48"/>
      <c r="P86" s="48"/>
      <c r="Q86" s="48"/>
      <c r="R86" s="40"/>
      <c r="S86" s="40"/>
      <c r="T86" s="40"/>
      <c r="U86" s="40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</row>
    <row r="87" spans="1:35" ht="13.5" customHeight="1" x14ac:dyDescent="0.25">
      <c r="A87" s="48">
        <v>33</v>
      </c>
      <c r="B87" s="166" t="s">
        <v>100</v>
      </c>
      <c r="C87" s="166" t="s">
        <v>101</v>
      </c>
      <c r="D87" s="150">
        <f t="shared" si="5"/>
        <v>0</v>
      </c>
      <c r="E87" s="48"/>
      <c r="F87" s="48"/>
      <c r="G87" s="35"/>
      <c r="H87" s="35"/>
      <c r="I87" s="35"/>
      <c r="J87" s="35"/>
      <c r="K87" s="35"/>
      <c r="L87" s="35"/>
      <c r="M87" s="48"/>
      <c r="N87" s="48"/>
      <c r="O87" s="48"/>
      <c r="P87" s="48"/>
      <c r="Q87" s="48"/>
      <c r="R87" s="40"/>
      <c r="S87" s="40"/>
      <c r="T87" s="40"/>
      <c r="U87" s="40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</row>
    <row r="88" spans="1:35" ht="13.5" customHeight="1" x14ac:dyDescent="0.25">
      <c r="A88" s="48">
        <v>34</v>
      </c>
      <c r="B88" s="166" t="s">
        <v>146</v>
      </c>
      <c r="C88" s="166" t="s">
        <v>93</v>
      </c>
      <c r="D88" s="150">
        <f t="shared" si="5"/>
        <v>19000</v>
      </c>
      <c r="E88" s="48"/>
      <c r="F88" s="48"/>
      <c r="G88" s="35"/>
      <c r="H88" s="35"/>
      <c r="I88" s="35"/>
      <c r="J88" s="35"/>
      <c r="K88" s="35"/>
      <c r="L88" s="35"/>
      <c r="M88" s="48"/>
      <c r="N88" s="48">
        <v>8000</v>
      </c>
      <c r="O88" s="48"/>
      <c r="P88" s="48"/>
      <c r="Q88" s="48"/>
      <c r="R88" s="40"/>
      <c r="S88" s="40"/>
      <c r="T88" s="40"/>
      <c r="U88" s="40">
        <v>6000</v>
      </c>
      <c r="V88" s="48"/>
      <c r="W88" s="48"/>
      <c r="X88" s="48"/>
      <c r="Y88" s="48">
        <v>5000</v>
      </c>
      <c r="Z88" s="48"/>
      <c r="AA88" s="48"/>
      <c r="AB88" s="48"/>
      <c r="AC88" s="48"/>
      <c r="AD88" s="48"/>
      <c r="AE88" s="48"/>
      <c r="AF88" s="48"/>
      <c r="AG88" s="48"/>
      <c r="AH88" s="48"/>
      <c r="AI88" s="48"/>
    </row>
    <row r="89" spans="1:35" ht="13.5" customHeight="1" x14ac:dyDescent="0.25">
      <c r="A89" s="48">
        <v>35</v>
      </c>
      <c r="B89" s="166" t="s">
        <v>177</v>
      </c>
      <c r="C89" s="166" t="s">
        <v>176</v>
      </c>
      <c r="D89" s="150">
        <f t="shared" si="5"/>
        <v>36840</v>
      </c>
      <c r="E89" s="137"/>
      <c r="F89" s="137"/>
      <c r="G89" s="137"/>
      <c r="H89" s="137"/>
      <c r="I89" s="35"/>
      <c r="J89" s="137"/>
      <c r="K89" s="35"/>
      <c r="L89" s="137"/>
      <c r="M89" s="137"/>
      <c r="N89" s="137"/>
      <c r="O89" s="48"/>
      <c r="P89" s="48"/>
      <c r="Q89" s="48"/>
      <c r="R89" s="40"/>
      <c r="S89" s="40"/>
      <c r="T89" s="40"/>
      <c r="U89" s="137"/>
      <c r="V89" s="48">
        <v>11840</v>
      </c>
      <c r="W89" s="137"/>
      <c r="X89" s="137"/>
      <c r="Y89" s="137"/>
      <c r="Z89" s="137"/>
      <c r="AA89" s="48"/>
      <c r="AB89" s="48"/>
      <c r="AC89" s="48">
        <v>15000</v>
      </c>
      <c r="AD89" s="48"/>
      <c r="AE89" s="48">
        <v>10000</v>
      </c>
      <c r="AF89" s="48"/>
      <c r="AG89" s="48"/>
      <c r="AH89" s="48"/>
      <c r="AI89" s="48"/>
    </row>
    <row r="90" spans="1:35" ht="13.5" customHeight="1" x14ac:dyDescent="0.25">
      <c r="A90" s="48">
        <v>36</v>
      </c>
      <c r="B90" s="166" t="s">
        <v>463</v>
      </c>
      <c r="C90" s="155" t="s">
        <v>462</v>
      </c>
      <c r="D90" s="150">
        <f t="shared" si="5"/>
        <v>0</v>
      </c>
      <c r="E90" s="48"/>
      <c r="F90" s="48"/>
      <c r="G90" s="35"/>
      <c r="H90" s="35"/>
      <c r="I90" s="35"/>
      <c r="J90" s="35"/>
      <c r="K90" s="35"/>
      <c r="L90" s="35"/>
      <c r="M90" s="48"/>
      <c r="N90" s="48"/>
      <c r="O90" s="48"/>
      <c r="P90" s="48"/>
      <c r="Q90" s="48"/>
      <c r="R90" s="40"/>
      <c r="S90" s="40"/>
      <c r="T90" s="40"/>
      <c r="U90" s="40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</row>
    <row r="91" spans="1:35" ht="13.5" customHeight="1" x14ac:dyDescent="0.25">
      <c r="A91" s="48">
        <v>37</v>
      </c>
      <c r="B91" s="166" t="s">
        <v>254</v>
      </c>
      <c r="C91" s="166" t="s">
        <v>253</v>
      </c>
      <c r="D91" s="150">
        <f t="shared" si="5"/>
        <v>0</v>
      </c>
      <c r="E91" s="48"/>
      <c r="F91" s="48"/>
      <c r="G91" s="35"/>
      <c r="H91" s="35"/>
      <c r="I91" s="35"/>
      <c r="J91" s="35"/>
      <c r="K91" s="35"/>
      <c r="L91" s="35"/>
      <c r="M91" s="48"/>
      <c r="N91" s="48"/>
      <c r="O91" s="48"/>
      <c r="P91" s="48"/>
      <c r="Q91" s="48"/>
      <c r="R91" s="40"/>
      <c r="S91" s="40"/>
      <c r="T91" s="40"/>
      <c r="U91" s="40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</row>
    <row r="92" spans="1:35" ht="13.5" customHeight="1" x14ac:dyDescent="0.25">
      <c r="A92" s="48">
        <v>38</v>
      </c>
      <c r="B92" s="166" t="s">
        <v>238</v>
      </c>
      <c r="C92" s="166" t="s">
        <v>237</v>
      </c>
      <c r="D92" s="150">
        <f t="shared" si="5"/>
        <v>10000</v>
      </c>
      <c r="E92" s="48"/>
      <c r="F92" s="48"/>
      <c r="G92" s="35"/>
      <c r="H92" s="35"/>
      <c r="I92" s="35"/>
      <c r="J92" s="35"/>
      <c r="K92" s="35"/>
      <c r="L92" s="35"/>
      <c r="M92" s="48"/>
      <c r="N92" s="48"/>
      <c r="O92" s="48"/>
      <c r="P92" s="48"/>
      <c r="Q92" s="48"/>
      <c r="R92" s="40"/>
      <c r="S92" s="40"/>
      <c r="T92" s="40"/>
      <c r="U92" s="40"/>
      <c r="V92" s="48"/>
      <c r="W92" s="48">
        <v>10000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</row>
    <row r="93" spans="1:35" ht="13.5" customHeight="1" x14ac:dyDescent="0.25">
      <c r="A93" s="48">
        <v>39</v>
      </c>
      <c r="B93" s="166" t="s">
        <v>197</v>
      </c>
      <c r="C93" s="166" t="s">
        <v>196</v>
      </c>
      <c r="D93" s="150">
        <f t="shared" si="5"/>
        <v>27000</v>
      </c>
      <c r="E93" s="48"/>
      <c r="F93" s="48"/>
      <c r="G93" s="35"/>
      <c r="H93" s="35"/>
      <c r="I93" s="35"/>
      <c r="J93" s="35">
        <v>7000</v>
      </c>
      <c r="K93" s="35"/>
      <c r="L93" s="35"/>
      <c r="M93" s="48"/>
      <c r="N93" s="48"/>
      <c r="O93" s="48"/>
      <c r="P93" s="48"/>
      <c r="Q93" s="48"/>
      <c r="R93" s="40"/>
      <c r="S93" s="40"/>
      <c r="T93" s="40"/>
      <c r="U93" s="40"/>
      <c r="V93" s="48"/>
      <c r="W93" s="48">
        <v>10000</v>
      </c>
      <c r="X93" s="48"/>
      <c r="Y93" s="48"/>
      <c r="Z93" s="48">
        <v>5000</v>
      </c>
      <c r="AA93" s="48"/>
      <c r="AB93" s="48"/>
      <c r="AC93" s="48"/>
      <c r="AD93" s="48"/>
      <c r="AE93" s="48"/>
      <c r="AF93" s="48">
        <v>5000</v>
      </c>
      <c r="AG93" s="48"/>
      <c r="AH93" s="48"/>
      <c r="AI93" s="48"/>
    </row>
    <row r="94" spans="1:35" ht="13.5" customHeight="1" x14ac:dyDescent="0.25">
      <c r="A94" s="48">
        <v>40</v>
      </c>
      <c r="B94" s="166" t="s">
        <v>203</v>
      </c>
      <c r="C94" s="166" t="s">
        <v>202</v>
      </c>
      <c r="D94" s="150">
        <f t="shared" si="5"/>
        <v>4700</v>
      </c>
      <c r="E94" s="48"/>
      <c r="F94" s="48"/>
      <c r="G94" s="35"/>
      <c r="H94" s="35"/>
      <c r="I94" s="35"/>
      <c r="J94" s="35"/>
      <c r="K94" s="35"/>
      <c r="L94" s="35"/>
      <c r="M94" s="48"/>
      <c r="N94" s="48"/>
      <c r="O94" s="48"/>
      <c r="P94" s="48"/>
      <c r="Q94" s="48"/>
      <c r="R94" s="40"/>
      <c r="S94" s="40"/>
      <c r="T94" s="40"/>
      <c r="U94" s="40"/>
      <c r="V94" s="48"/>
      <c r="W94" s="48"/>
      <c r="X94" s="48"/>
      <c r="Y94" s="48"/>
      <c r="Z94" s="48"/>
      <c r="AA94" s="48"/>
      <c r="AB94" s="48">
        <v>4700</v>
      </c>
      <c r="AC94" s="48"/>
      <c r="AD94" s="48"/>
      <c r="AE94" s="48"/>
      <c r="AF94" s="48"/>
      <c r="AG94" s="48"/>
      <c r="AH94" s="48"/>
      <c r="AI94" s="48"/>
    </row>
    <row r="95" spans="1:35" ht="13.5" customHeight="1" x14ac:dyDescent="0.25">
      <c r="A95" s="48">
        <v>41</v>
      </c>
      <c r="B95" s="166" t="s">
        <v>147</v>
      </c>
      <c r="C95" s="166" t="s">
        <v>94</v>
      </c>
      <c r="D95" s="150">
        <f t="shared" si="5"/>
        <v>11600</v>
      </c>
      <c r="E95" s="48"/>
      <c r="F95" s="48"/>
      <c r="G95" s="35"/>
      <c r="H95" s="35"/>
      <c r="I95" s="35"/>
      <c r="J95" s="35"/>
      <c r="K95" s="35"/>
      <c r="L95" s="35"/>
      <c r="M95" s="48"/>
      <c r="N95" s="48"/>
      <c r="O95" s="48"/>
      <c r="P95" s="48"/>
      <c r="Q95" s="48"/>
      <c r="R95" s="40"/>
      <c r="S95" s="40"/>
      <c r="T95" s="40"/>
      <c r="U95" s="40"/>
      <c r="V95" s="48"/>
      <c r="W95" s="48">
        <v>1600</v>
      </c>
      <c r="X95" s="48"/>
      <c r="Y95" s="48"/>
      <c r="Z95" s="48">
        <v>5000</v>
      </c>
      <c r="AA95" s="48"/>
      <c r="AB95" s="48"/>
      <c r="AC95" s="48"/>
      <c r="AD95" s="48">
        <v>5000</v>
      </c>
      <c r="AE95" s="48"/>
      <c r="AF95" s="48"/>
      <c r="AG95" s="48"/>
      <c r="AH95" s="48"/>
      <c r="AI95" s="48"/>
    </row>
    <row r="96" spans="1:35" ht="13.5" customHeight="1" x14ac:dyDescent="0.25">
      <c r="A96" s="48">
        <v>42</v>
      </c>
      <c r="B96" s="166" t="s">
        <v>268</v>
      </c>
      <c r="C96" s="166" t="s">
        <v>265</v>
      </c>
      <c r="D96" s="150">
        <f t="shared" si="5"/>
        <v>0</v>
      </c>
      <c r="E96" s="48"/>
      <c r="F96" s="48"/>
      <c r="G96" s="35"/>
      <c r="H96" s="35"/>
      <c r="I96" s="35"/>
      <c r="J96" s="35"/>
      <c r="K96" s="35"/>
      <c r="L96" s="35"/>
      <c r="M96" s="48"/>
      <c r="N96" s="48"/>
      <c r="O96" s="48"/>
      <c r="P96" s="48"/>
      <c r="Q96" s="48"/>
      <c r="R96" s="40"/>
      <c r="S96" s="40"/>
      <c r="T96" s="40"/>
      <c r="U96" s="40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</row>
    <row r="97" spans="1:35" ht="13.5" customHeight="1" x14ac:dyDescent="0.25">
      <c r="A97" s="48">
        <v>43</v>
      </c>
      <c r="B97" s="166" t="s">
        <v>269</v>
      </c>
      <c r="C97" s="166" t="s">
        <v>266</v>
      </c>
      <c r="D97" s="150">
        <f t="shared" si="5"/>
        <v>0</v>
      </c>
      <c r="E97" s="48"/>
      <c r="F97" s="48"/>
      <c r="G97" s="35"/>
      <c r="H97" s="35"/>
      <c r="I97" s="35"/>
      <c r="J97" s="35"/>
      <c r="K97" s="35"/>
      <c r="L97" s="35"/>
      <c r="M97" s="48"/>
      <c r="N97" s="48"/>
      <c r="O97" s="48"/>
      <c r="P97" s="48"/>
      <c r="Q97" s="48"/>
      <c r="R97" s="40"/>
      <c r="S97" s="40"/>
      <c r="T97" s="40"/>
      <c r="U97" s="40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</row>
    <row r="98" spans="1:35" ht="13.5" customHeight="1" x14ac:dyDescent="0.25">
      <c r="A98" s="48">
        <v>44</v>
      </c>
      <c r="B98" s="166" t="s">
        <v>270</v>
      </c>
      <c r="C98" s="166" t="s">
        <v>267</v>
      </c>
      <c r="D98" s="150">
        <f t="shared" si="5"/>
        <v>0</v>
      </c>
      <c r="E98" s="137"/>
      <c r="F98" s="137"/>
      <c r="G98" s="137"/>
      <c r="H98" s="137"/>
      <c r="I98" s="35"/>
      <c r="J98" s="137"/>
      <c r="K98" s="137"/>
      <c r="L98" s="137"/>
      <c r="M98" s="137"/>
      <c r="N98" s="137"/>
      <c r="O98" s="137"/>
      <c r="P98" s="48"/>
      <c r="Q98" s="48"/>
      <c r="R98" s="40"/>
      <c r="S98" s="40"/>
      <c r="T98" s="40"/>
      <c r="U98" s="137"/>
      <c r="V98" s="48"/>
      <c r="W98" s="137"/>
      <c r="X98" s="137"/>
      <c r="Y98" s="137"/>
      <c r="Z98" s="137"/>
      <c r="AA98" s="48"/>
      <c r="AB98" s="137"/>
      <c r="AC98" s="137"/>
      <c r="AD98" s="137"/>
      <c r="AE98" s="137"/>
      <c r="AF98" s="137"/>
      <c r="AG98" s="48"/>
      <c r="AH98" s="48"/>
      <c r="AI98" s="137"/>
    </row>
    <row r="99" spans="1:35" ht="13.5" customHeight="1" x14ac:dyDescent="0.25">
      <c r="A99" s="48">
        <v>45</v>
      </c>
      <c r="B99" s="166" t="s">
        <v>205</v>
      </c>
      <c r="C99" s="166" t="s">
        <v>204</v>
      </c>
      <c r="D99" s="150">
        <f t="shared" si="5"/>
        <v>0</v>
      </c>
      <c r="E99" s="48"/>
      <c r="F99" s="48"/>
      <c r="G99" s="35"/>
      <c r="H99" s="35"/>
      <c r="I99" s="35"/>
      <c r="J99" s="35"/>
      <c r="K99" s="35"/>
      <c r="L99" s="35"/>
      <c r="M99" s="48"/>
      <c r="N99" s="48"/>
      <c r="O99" s="48"/>
      <c r="P99" s="48"/>
      <c r="Q99" s="48"/>
      <c r="R99" s="40"/>
      <c r="S99" s="40"/>
      <c r="T99" s="40"/>
      <c r="U99" s="40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</row>
    <row r="100" spans="1:35" ht="13.5" customHeight="1" x14ac:dyDescent="0.25">
      <c r="A100" s="48">
        <v>46</v>
      </c>
      <c r="B100" s="166" t="s">
        <v>187</v>
      </c>
      <c r="C100" s="166" t="s">
        <v>186</v>
      </c>
      <c r="D100" s="150">
        <f t="shared" si="5"/>
        <v>44000</v>
      </c>
      <c r="E100" s="48"/>
      <c r="F100" s="48"/>
      <c r="G100" s="35"/>
      <c r="H100" s="35"/>
      <c r="I100" s="35"/>
      <c r="J100" s="35"/>
      <c r="K100" s="35"/>
      <c r="L100" s="35"/>
      <c r="M100" s="48"/>
      <c r="N100" s="48"/>
      <c r="O100" s="48"/>
      <c r="P100" s="48"/>
      <c r="Q100" s="48"/>
      <c r="R100" s="40"/>
      <c r="S100" s="40"/>
      <c r="T100" s="40"/>
      <c r="U100" s="40"/>
      <c r="V100" s="48"/>
      <c r="W100" s="48"/>
      <c r="X100" s="48"/>
      <c r="Y100" s="48"/>
      <c r="Z100" s="48"/>
      <c r="AA100" s="48"/>
      <c r="AB100" s="48"/>
      <c r="AC100" s="48">
        <v>40000</v>
      </c>
      <c r="AD100" s="48"/>
      <c r="AE100" s="48"/>
      <c r="AF100" s="48"/>
      <c r="AG100" s="48"/>
      <c r="AH100" s="48">
        <v>4000</v>
      </c>
      <c r="AI100" s="48"/>
    </row>
    <row r="101" spans="1:35" ht="13.5" customHeight="1" x14ac:dyDescent="0.25">
      <c r="A101" s="141" t="s">
        <v>140</v>
      </c>
      <c r="B101" s="144" t="s">
        <v>121</v>
      </c>
      <c r="C101" s="141" t="s">
        <v>141</v>
      </c>
      <c r="D101" s="143">
        <f t="shared" ref="D101:AI101" si="6">SUM(D102:D143)</f>
        <v>2013648</v>
      </c>
      <c r="E101" s="143">
        <f t="shared" si="6"/>
        <v>0</v>
      </c>
      <c r="F101" s="143">
        <f t="shared" si="6"/>
        <v>0</v>
      </c>
      <c r="G101" s="143">
        <f t="shared" si="6"/>
        <v>0</v>
      </c>
      <c r="H101" s="143">
        <f t="shared" si="6"/>
        <v>0</v>
      </c>
      <c r="I101" s="143">
        <f t="shared" si="6"/>
        <v>0</v>
      </c>
      <c r="J101" s="143">
        <f t="shared" si="6"/>
        <v>75000</v>
      </c>
      <c r="K101" s="143">
        <f t="shared" si="6"/>
        <v>85000</v>
      </c>
      <c r="L101" s="143">
        <f t="shared" si="6"/>
        <v>90000</v>
      </c>
      <c r="M101" s="143">
        <f t="shared" si="6"/>
        <v>150000</v>
      </c>
      <c r="N101" s="143">
        <f t="shared" si="6"/>
        <v>107700</v>
      </c>
      <c r="O101" s="143">
        <f t="shared" si="6"/>
        <v>113000</v>
      </c>
      <c r="P101" s="143">
        <f t="shared" si="6"/>
        <v>95000</v>
      </c>
      <c r="Q101" s="143">
        <f t="shared" si="6"/>
        <v>0</v>
      </c>
      <c r="R101" s="143">
        <f t="shared" si="6"/>
        <v>0</v>
      </c>
      <c r="S101" s="143">
        <f t="shared" si="6"/>
        <v>0</v>
      </c>
      <c r="T101" s="143">
        <f t="shared" si="6"/>
        <v>0</v>
      </c>
      <c r="U101" s="143">
        <f t="shared" si="6"/>
        <v>85000</v>
      </c>
      <c r="V101" s="143">
        <f t="shared" si="6"/>
        <v>12952</v>
      </c>
      <c r="W101" s="143">
        <f t="shared" si="6"/>
        <v>106900</v>
      </c>
      <c r="X101" s="143">
        <f t="shared" si="6"/>
        <v>95500</v>
      </c>
      <c r="Y101" s="143">
        <f t="shared" si="6"/>
        <v>108096</v>
      </c>
      <c r="Z101" s="143">
        <f t="shared" si="6"/>
        <v>107000</v>
      </c>
      <c r="AA101" s="143">
        <f t="shared" si="6"/>
        <v>100000</v>
      </c>
      <c r="AB101" s="143">
        <f t="shared" si="6"/>
        <v>56600</v>
      </c>
      <c r="AC101" s="143">
        <f t="shared" si="6"/>
        <v>71400</v>
      </c>
      <c r="AD101" s="143">
        <f t="shared" si="6"/>
        <v>156500</v>
      </c>
      <c r="AE101" s="143">
        <f t="shared" si="6"/>
        <v>92000</v>
      </c>
      <c r="AF101" s="143">
        <f t="shared" si="6"/>
        <v>116000</v>
      </c>
      <c r="AG101" s="143">
        <f t="shared" si="6"/>
        <v>100000</v>
      </c>
      <c r="AH101" s="143">
        <f t="shared" si="6"/>
        <v>90000</v>
      </c>
      <c r="AI101" s="143">
        <f t="shared" si="6"/>
        <v>0</v>
      </c>
    </row>
    <row r="102" spans="1:35" ht="13.5" customHeight="1" x14ac:dyDescent="0.25">
      <c r="A102" s="48">
        <v>1</v>
      </c>
      <c r="B102" s="166" t="s">
        <v>181</v>
      </c>
      <c r="C102" s="166" t="s">
        <v>180</v>
      </c>
      <c r="D102" s="150">
        <f t="shared" ref="D102:D143" si="7">SUM(E102:AI102)</f>
        <v>0</v>
      </c>
      <c r="E102" s="48"/>
      <c r="F102" s="48"/>
      <c r="G102" s="35"/>
      <c r="H102" s="35"/>
      <c r="I102" s="35"/>
      <c r="J102" s="35"/>
      <c r="K102" s="35"/>
      <c r="L102" s="35"/>
      <c r="M102" s="48"/>
      <c r="N102" s="48"/>
      <c r="O102" s="48"/>
      <c r="P102" s="48"/>
      <c r="Q102" s="48"/>
      <c r="R102" s="40"/>
      <c r="S102" s="40"/>
      <c r="T102" s="40"/>
      <c r="U102" s="40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</row>
    <row r="103" spans="1:35" ht="13.5" customHeight="1" x14ac:dyDescent="0.25">
      <c r="A103" s="48">
        <v>2</v>
      </c>
      <c r="B103" s="166" t="s">
        <v>736</v>
      </c>
      <c r="C103" s="166" t="s">
        <v>735</v>
      </c>
      <c r="D103" s="150">
        <f t="shared" si="7"/>
        <v>0</v>
      </c>
      <c r="E103" s="48"/>
      <c r="F103" s="48"/>
      <c r="G103" s="35"/>
      <c r="H103" s="35"/>
      <c r="I103" s="35"/>
      <c r="J103" s="35"/>
      <c r="K103" s="35"/>
      <c r="L103" s="35"/>
      <c r="M103" s="48"/>
      <c r="N103" s="48"/>
      <c r="O103" s="48"/>
      <c r="P103" s="48"/>
      <c r="Q103" s="48"/>
      <c r="R103" s="40"/>
      <c r="S103" s="40"/>
      <c r="T103" s="40"/>
      <c r="U103" s="40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</row>
    <row r="104" spans="1:35" ht="13.5" customHeight="1" x14ac:dyDescent="0.25">
      <c r="A104" s="48">
        <v>3</v>
      </c>
      <c r="B104" s="176" t="s">
        <v>1076</v>
      </c>
      <c r="C104" s="176" t="s">
        <v>1075</v>
      </c>
      <c r="D104" s="150">
        <f t="shared" si="7"/>
        <v>4000</v>
      </c>
      <c r="E104" s="137"/>
      <c r="F104" s="137"/>
      <c r="G104" s="137"/>
      <c r="H104" s="137"/>
      <c r="I104" s="35"/>
      <c r="J104" s="137"/>
      <c r="K104" s="137"/>
      <c r="L104" s="137"/>
      <c r="M104" s="137"/>
      <c r="N104" s="137"/>
      <c r="O104" s="137"/>
      <c r="P104" s="48"/>
      <c r="Q104" s="48"/>
      <c r="R104" s="40"/>
      <c r="S104" s="40"/>
      <c r="T104" s="40"/>
      <c r="U104" s="137"/>
      <c r="V104" s="48">
        <v>1000</v>
      </c>
      <c r="W104" s="48"/>
      <c r="X104" s="48">
        <v>500</v>
      </c>
      <c r="Y104" s="48">
        <v>500</v>
      </c>
      <c r="Z104" s="137"/>
      <c r="AA104" s="48"/>
      <c r="AB104" s="137"/>
      <c r="AC104" s="48"/>
      <c r="AD104" s="137"/>
      <c r="AE104" s="137"/>
      <c r="AF104" s="48">
        <v>2000</v>
      </c>
      <c r="AG104" s="48"/>
      <c r="AH104" s="48"/>
      <c r="AI104" s="137"/>
    </row>
    <row r="105" spans="1:35" ht="13.5" customHeight="1" x14ac:dyDescent="0.25">
      <c r="A105" s="48">
        <v>4</v>
      </c>
      <c r="B105" s="176" t="s">
        <v>1066</v>
      </c>
      <c r="C105" s="176" t="s">
        <v>1065</v>
      </c>
      <c r="D105" s="150">
        <f t="shared" si="7"/>
        <v>10000</v>
      </c>
      <c r="E105" s="48"/>
      <c r="F105" s="48"/>
      <c r="G105" s="35"/>
      <c r="H105" s="35"/>
      <c r="I105" s="35"/>
      <c r="J105" s="35"/>
      <c r="K105" s="35"/>
      <c r="L105" s="35"/>
      <c r="M105" s="48"/>
      <c r="N105" s="48"/>
      <c r="O105" s="48"/>
      <c r="P105" s="48"/>
      <c r="Q105" s="48"/>
      <c r="R105" s="40"/>
      <c r="S105" s="40"/>
      <c r="T105" s="40"/>
      <c r="U105" s="40">
        <v>10000</v>
      </c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</row>
    <row r="106" spans="1:35" ht="13.5" customHeight="1" x14ac:dyDescent="0.25">
      <c r="A106" s="48">
        <v>5</v>
      </c>
      <c r="B106" s="166" t="s">
        <v>754</v>
      </c>
      <c r="C106" s="166" t="s">
        <v>753</v>
      </c>
      <c r="D106" s="150">
        <f t="shared" si="7"/>
        <v>17000</v>
      </c>
      <c r="E106" s="48"/>
      <c r="F106" s="48"/>
      <c r="G106" s="35"/>
      <c r="H106" s="35"/>
      <c r="I106" s="35"/>
      <c r="J106" s="35"/>
      <c r="K106" s="35"/>
      <c r="L106" s="35"/>
      <c r="M106" s="48"/>
      <c r="N106" s="48"/>
      <c r="O106" s="48">
        <v>17000</v>
      </c>
      <c r="P106" s="48"/>
      <c r="Q106" s="48"/>
      <c r="R106" s="40"/>
      <c r="S106" s="40"/>
      <c r="T106" s="40"/>
      <c r="U106" s="40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</row>
    <row r="107" spans="1:35" ht="13.5" customHeight="1" x14ac:dyDescent="0.25">
      <c r="A107" s="48">
        <v>6</v>
      </c>
      <c r="B107" s="166" t="s">
        <v>755</v>
      </c>
      <c r="C107" s="166" t="s">
        <v>756</v>
      </c>
      <c r="D107" s="150">
        <f t="shared" si="7"/>
        <v>9000</v>
      </c>
      <c r="E107" s="48"/>
      <c r="F107" s="48"/>
      <c r="G107" s="35"/>
      <c r="H107" s="35"/>
      <c r="I107" s="35"/>
      <c r="J107" s="35"/>
      <c r="K107" s="35"/>
      <c r="L107" s="35"/>
      <c r="M107" s="48"/>
      <c r="N107" s="48"/>
      <c r="O107" s="48"/>
      <c r="P107" s="48">
        <v>8000</v>
      </c>
      <c r="Q107" s="48"/>
      <c r="R107" s="40"/>
      <c r="S107" s="40"/>
      <c r="T107" s="40"/>
      <c r="U107" s="40"/>
      <c r="V107" s="48"/>
      <c r="W107" s="48"/>
      <c r="X107" s="48"/>
      <c r="Y107" s="48"/>
      <c r="Z107" s="48"/>
      <c r="AA107" s="48"/>
      <c r="AB107" s="48"/>
      <c r="AC107" s="48">
        <v>1000</v>
      </c>
      <c r="AD107" s="48"/>
      <c r="AE107" s="48"/>
      <c r="AF107" s="48"/>
      <c r="AG107" s="48"/>
      <c r="AH107" s="48"/>
      <c r="AI107" s="48"/>
    </row>
    <row r="108" spans="1:35" ht="13.5" customHeight="1" x14ac:dyDescent="0.25">
      <c r="A108" s="48">
        <v>7</v>
      </c>
      <c r="B108" s="166" t="s">
        <v>336</v>
      </c>
      <c r="C108" s="166" t="s">
        <v>335</v>
      </c>
      <c r="D108" s="150">
        <f t="shared" si="7"/>
        <v>50000</v>
      </c>
      <c r="E108" s="48"/>
      <c r="F108" s="48"/>
      <c r="G108" s="35"/>
      <c r="H108" s="35"/>
      <c r="I108" s="35"/>
      <c r="J108" s="35"/>
      <c r="K108" s="35"/>
      <c r="L108" s="35"/>
      <c r="M108" s="48"/>
      <c r="N108" s="48"/>
      <c r="O108" s="48"/>
      <c r="P108" s="48"/>
      <c r="Q108" s="48"/>
      <c r="R108" s="40"/>
      <c r="S108" s="40"/>
      <c r="T108" s="40"/>
      <c r="U108" s="40"/>
      <c r="V108" s="48"/>
      <c r="W108" s="48"/>
      <c r="X108" s="48"/>
      <c r="Y108" s="48">
        <v>50000</v>
      </c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</row>
    <row r="109" spans="1:35" ht="13.5" customHeight="1" x14ac:dyDescent="0.25">
      <c r="A109" s="48">
        <v>8</v>
      </c>
      <c r="B109" s="166" t="s">
        <v>571</v>
      </c>
      <c r="C109" s="166" t="s">
        <v>570</v>
      </c>
      <c r="D109" s="150">
        <f t="shared" si="7"/>
        <v>0</v>
      </c>
      <c r="E109" s="48"/>
      <c r="F109" s="48"/>
      <c r="G109" s="35"/>
      <c r="H109" s="35"/>
      <c r="I109" s="35"/>
      <c r="J109" s="35"/>
      <c r="K109" s="35"/>
      <c r="L109" s="35"/>
      <c r="M109" s="48"/>
      <c r="N109" s="48"/>
      <c r="O109" s="48"/>
      <c r="P109" s="48"/>
      <c r="Q109" s="48"/>
      <c r="R109" s="40"/>
      <c r="S109" s="40"/>
      <c r="T109" s="40"/>
      <c r="U109" s="40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</row>
    <row r="110" spans="1:35" ht="13.5" customHeight="1" x14ac:dyDescent="0.25">
      <c r="A110" s="48">
        <v>9</v>
      </c>
      <c r="B110" s="166" t="s">
        <v>102</v>
      </c>
      <c r="C110" s="166" t="s">
        <v>688</v>
      </c>
      <c r="D110" s="150">
        <f t="shared" si="7"/>
        <v>0</v>
      </c>
      <c r="E110" s="48"/>
      <c r="F110" s="48"/>
      <c r="G110" s="35"/>
      <c r="H110" s="35"/>
      <c r="I110" s="35"/>
      <c r="J110" s="35"/>
      <c r="K110" s="35"/>
      <c r="L110" s="35"/>
      <c r="M110" s="48"/>
      <c r="N110" s="48"/>
      <c r="O110" s="48"/>
      <c r="P110" s="48"/>
      <c r="Q110" s="48"/>
      <c r="R110" s="40"/>
      <c r="S110" s="40"/>
      <c r="T110" s="40"/>
      <c r="U110" s="40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</row>
    <row r="111" spans="1:35" ht="13.5" customHeight="1" x14ac:dyDescent="0.25">
      <c r="A111" s="48">
        <v>10</v>
      </c>
      <c r="B111" s="176" t="s">
        <v>1126</v>
      </c>
      <c r="C111" s="176" t="s">
        <v>1125</v>
      </c>
      <c r="D111" s="150">
        <f t="shared" si="7"/>
        <v>96</v>
      </c>
      <c r="E111" s="48"/>
      <c r="F111" s="48"/>
      <c r="G111" s="35"/>
      <c r="H111" s="35"/>
      <c r="I111" s="35"/>
      <c r="J111" s="35"/>
      <c r="K111" s="35"/>
      <c r="L111" s="35"/>
      <c r="M111" s="48"/>
      <c r="N111" s="48"/>
      <c r="O111" s="48"/>
      <c r="P111" s="48"/>
      <c r="Q111" s="48"/>
      <c r="R111" s="40"/>
      <c r="S111" s="40"/>
      <c r="T111" s="40"/>
      <c r="U111" s="40"/>
      <c r="V111" s="48"/>
      <c r="W111" s="48"/>
      <c r="X111" s="48"/>
      <c r="Y111" s="48">
        <v>96</v>
      </c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ht="13.5" customHeight="1" x14ac:dyDescent="0.25">
      <c r="A112" s="48">
        <v>11</v>
      </c>
      <c r="B112" s="176" t="s">
        <v>1180</v>
      </c>
      <c r="C112" s="176" t="s">
        <v>1179</v>
      </c>
      <c r="D112" s="150">
        <f t="shared" si="7"/>
        <v>400</v>
      </c>
      <c r="E112" s="48"/>
      <c r="F112" s="48"/>
      <c r="G112" s="35"/>
      <c r="H112" s="35"/>
      <c r="I112" s="35"/>
      <c r="J112" s="35"/>
      <c r="K112" s="35"/>
      <c r="L112" s="35"/>
      <c r="M112" s="48"/>
      <c r="N112" s="48"/>
      <c r="O112" s="48"/>
      <c r="P112" s="48"/>
      <c r="Q112" s="48"/>
      <c r="R112" s="40"/>
      <c r="S112" s="40"/>
      <c r="T112" s="40"/>
      <c r="U112" s="40"/>
      <c r="V112" s="48"/>
      <c r="W112" s="48"/>
      <c r="X112" s="48"/>
      <c r="Y112" s="48"/>
      <c r="Z112" s="48"/>
      <c r="AA112" s="48"/>
      <c r="AB112" s="48"/>
      <c r="AC112" s="48">
        <v>400</v>
      </c>
      <c r="AD112" s="48"/>
      <c r="AE112" s="48"/>
      <c r="AF112" s="48"/>
      <c r="AG112" s="48"/>
      <c r="AH112" s="48"/>
      <c r="AI112" s="48"/>
    </row>
    <row r="113" spans="1:35" ht="13.5" customHeight="1" x14ac:dyDescent="0.25">
      <c r="A113" s="48">
        <v>12</v>
      </c>
      <c r="B113" s="166" t="s">
        <v>690</v>
      </c>
      <c r="C113" s="166" t="s">
        <v>689</v>
      </c>
      <c r="D113" s="150">
        <f t="shared" si="7"/>
        <v>0</v>
      </c>
      <c r="E113" s="48"/>
      <c r="F113" s="48"/>
      <c r="G113" s="35"/>
      <c r="H113" s="35"/>
      <c r="I113" s="35"/>
      <c r="J113" s="35"/>
      <c r="K113" s="35"/>
      <c r="L113" s="35"/>
      <c r="M113" s="48"/>
      <c r="N113" s="48"/>
      <c r="O113" s="48"/>
      <c r="P113" s="48"/>
      <c r="Q113" s="48"/>
      <c r="R113" s="40"/>
      <c r="S113" s="40"/>
      <c r="T113" s="40"/>
      <c r="U113" s="40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</row>
    <row r="114" spans="1:35" ht="13.5" customHeight="1" x14ac:dyDescent="0.25">
      <c r="A114" s="48">
        <v>13</v>
      </c>
      <c r="B114" s="166" t="s">
        <v>692</v>
      </c>
      <c r="C114" s="166" t="s">
        <v>691</v>
      </c>
      <c r="D114" s="150">
        <f t="shared" si="7"/>
        <v>0</v>
      </c>
      <c r="E114" s="48"/>
      <c r="F114" s="48"/>
      <c r="G114" s="35"/>
      <c r="H114" s="35"/>
      <c r="I114" s="35"/>
      <c r="J114" s="35"/>
      <c r="K114" s="35"/>
      <c r="L114" s="35"/>
      <c r="M114" s="48"/>
      <c r="N114" s="48"/>
      <c r="O114" s="48"/>
      <c r="P114" s="48"/>
      <c r="Q114" s="48"/>
      <c r="R114" s="40"/>
      <c r="S114" s="40"/>
      <c r="T114" s="40"/>
      <c r="U114" s="40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</row>
    <row r="115" spans="1:35" ht="13.5" customHeight="1" x14ac:dyDescent="0.25">
      <c r="A115" s="48">
        <v>14</v>
      </c>
      <c r="B115" s="166" t="s">
        <v>461</v>
      </c>
      <c r="C115" s="155" t="s">
        <v>460</v>
      </c>
      <c r="D115" s="150">
        <f t="shared" si="7"/>
        <v>0</v>
      </c>
      <c r="E115" s="48"/>
      <c r="F115" s="48"/>
      <c r="G115" s="35"/>
      <c r="H115" s="35"/>
      <c r="I115" s="35"/>
      <c r="J115" s="35"/>
      <c r="K115" s="35"/>
      <c r="L115" s="35"/>
      <c r="M115" s="48"/>
      <c r="N115" s="48"/>
      <c r="O115" s="48"/>
      <c r="P115" s="48"/>
      <c r="Q115" s="48"/>
      <c r="R115" s="40"/>
      <c r="S115" s="40"/>
      <c r="T115" s="40"/>
      <c r="U115" s="40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</row>
    <row r="116" spans="1:35" ht="13.5" customHeight="1" x14ac:dyDescent="0.25">
      <c r="A116" s="48">
        <v>15</v>
      </c>
      <c r="B116" s="176" t="s">
        <v>1196</v>
      </c>
      <c r="C116" s="176" t="s">
        <v>1195</v>
      </c>
      <c r="D116" s="150">
        <f t="shared" si="7"/>
        <v>20000</v>
      </c>
      <c r="E116" s="48"/>
      <c r="F116" s="48"/>
      <c r="G116" s="35"/>
      <c r="H116" s="35"/>
      <c r="I116" s="35"/>
      <c r="J116" s="35"/>
      <c r="K116" s="35"/>
      <c r="L116" s="35"/>
      <c r="M116" s="48"/>
      <c r="N116" s="48"/>
      <c r="O116" s="48"/>
      <c r="P116" s="48"/>
      <c r="Q116" s="48"/>
      <c r="R116" s="40"/>
      <c r="S116" s="40"/>
      <c r="T116" s="40"/>
      <c r="U116" s="40"/>
      <c r="V116" s="48"/>
      <c r="W116" s="48"/>
      <c r="X116" s="48"/>
      <c r="Y116" s="48"/>
      <c r="Z116" s="48"/>
      <c r="AA116" s="48"/>
      <c r="AB116" s="48"/>
      <c r="AC116" s="48"/>
      <c r="AD116" s="48">
        <v>16000</v>
      </c>
      <c r="AE116" s="48"/>
      <c r="AF116" s="48">
        <v>4000</v>
      </c>
      <c r="AG116" s="48"/>
      <c r="AH116" s="48"/>
      <c r="AI116" s="48"/>
    </row>
    <row r="117" spans="1:35" ht="13.5" customHeight="1" x14ac:dyDescent="0.25">
      <c r="A117" s="48">
        <v>16</v>
      </c>
      <c r="B117" s="166" t="s">
        <v>443</v>
      </c>
      <c r="C117" s="166" t="s">
        <v>442</v>
      </c>
      <c r="D117" s="150">
        <f t="shared" si="7"/>
        <v>0</v>
      </c>
      <c r="E117" s="48"/>
      <c r="F117" s="48"/>
      <c r="G117" s="35"/>
      <c r="H117" s="35"/>
      <c r="I117" s="35"/>
      <c r="J117" s="35"/>
      <c r="K117" s="35"/>
      <c r="L117" s="35"/>
      <c r="M117" s="48"/>
      <c r="N117" s="48"/>
      <c r="O117" s="48"/>
      <c r="P117" s="48"/>
      <c r="Q117" s="48"/>
      <c r="R117" s="40"/>
      <c r="S117" s="40"/>
      <c r="T117" s="40"/>
      <c r="U117" s="40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</row>
    <row r="118" spans="1:35" ht="13.5" customHeight="1" x14ac:dyDescent="0.25">
      <c r="A118" s="48">
        <v>17</v>
      </c>
      <c r="B118" s="166" t="s">
        <v>281</v>
      </c>
      <c r="C118" s="166" t="s">
        <v>282</v>
      </c>
      <c r="D118" s="150">
        <f t="shared" si="7"/>
        <v>22000</v>
      </c>
      <c r="E118" s="48"/>
      <c r="F118" s="48"/>
      <c r="G118" s="35"/>
      <c r="H118" s="35"/>
      <c r="I118" s="35"/>
      <c r="J118" s="35"/>
      <c r="K118" s="35"/>
      <c r="L118" s="35"/>
      <c r="M118" s="48"/>
      <c r="N118" s="48"/>
      <c r="O118" s="48"/>
      <c r="P118" s="48"/>
      <c r="Q118" s="48"/>
      <c r="R118" s="40"/>
      <c r="S118" s="40"/>
      <c r="T118" s="40"/>
      <c r="U118" s="40">
        <v>20000</v>
      </c>
      <c r="V118" s="48"/>
      <c r="W118" s="48"/>
      <c r="X118" s="48"/>
      <c r="Y118" s="48"/>
      <c r="Z118" s="48"/>
      <c r="AA118" s="48"/>
      <c r="AB118" s="48"/>
      <c r="AC118" s="48"/>
      <c r="AD118" s="48"/>
      <c r="AE118" s="48">
        <v>2000</v>
      </c>
      <c r="AF118" s="48"/>
      <c r="AG118" s="48"/>
      <c r="AH118" s="48"/>
      <c r="AI118" s="48"/>
    </row>
    <row r="119" spans="1:35" ht="13.5" customHeight="1" x14ac:dyDescent="0.25">
      <c r="A119" s="48">
        <v>18</v>
      </c>
      <c r="B119" s="166" t="s">
        <v>465</v>
      </c>
      <c r="C119" s="155" t="s">
        <v>464</v>
      </c>
      <c r="D119" s="150">
        <f t="shared" si="7"/>
        <v>1025000</v>
      </c>
      <c r="E119" s="48"/>
      <c r="F119" s="48"/>
      <c r="G119" s="35"/>
      <c r="H119" s="35"/>
      <c r="I119" s="35"/>
      <c r="J119" s="35"/>
      <c r="K119" s="35"/>
      <c r="L119" s="35">
        <v>20000</v>
      </c>
      <c r="M119" s="48">
        <v>100000</v>
      </c>
      <c r="N119" s="48">
        <v>50000</v>
      </c>
      <c r="O119" s="48">
        <f>45000+30000</f>
        <v>75000</v>
      </c>
      <c r="P119" s="48">
        <v>60000</v>
      </c>
      <c r="Q119" s="48"/>
      <c r="R119" s="40"/>
      <c r="S119" s="40"/>
      <c r="T119" s="40"/>
      <c r="U119" s="40">
        <v>30000</v>
      </c>
      <c r="V119" s="48"/>
      <c r="W119" s="48">
        <v>40000</v>
      </c>
      <c r="X119" s="48">
        <v>80000</v>
      </c>
      <c r="Y119" s="48">
        <v>50000</v>
      </c>
      <c r="Z119" s="48">
        <v>60000</v>
      </c>
      <c r="AA119" s="48">
        <v>60000</v>
      </c>
      <c r="AB119" s="48">
        <v>40000</v>
      </c>
      <c r="AC119" s="48">
        <v>40000</v>
      </c>
      <c r="AD119" s="48">
        <v>90000</v>
      </c>
      <c r="AE119" s="48">
        <v>40000</v>
      </c>
      <c r="AF119" s="48">
        <v>60000</v>
      </c>
      <c r="AG119" s="48">
        <v>60000</v>
      </c>
      <c r="AH119" s="48">
        <f>55000+15000</f>
        <v>70000</v>
      </c>
      <c r="AI119" s="48"/>
    </row>
    <row r="120" spans="1:35" ht="13.5" customHeight="1" x14ac:dyDescent="0.25">
      <c r="A120" s="48">
        <v>19</v>
      </c>
      <c r="B120" s="166" t="s">
        <v>804</v>
      </c>
      <c r="C120" s="166" t="s">
        <v>803</v>
      </c>
      <c r="D120" s="150">
        <f t="shared" si="7"/>
        <v>15000</v>
      </c>
      <c r="E120" s="48"/>
      <c r="F120" s="48"/>
      <c r="G120" s="35"/>
      <c r="H120" s="35"/>
      <c r="I120" s="35"/>
      <c r="J120" s="35">
        <v>5000</v>
      </c>
      <c r="K120" s="35"/>
      <c r="L120" s="35"/>
      <c r="M120" s="48"/>
      <c r="N120" s="48"/>
      <c r="O120" s="48"/>
      <c r="P120" s="48"/>
      <c r="Q120" s="48"/>
      <c r="R120" s="40"/>
      <c r="S120" s="40"/>
      <c r="T120" s="40"/>
      <c r="U120" s="40"/>
      <c r="V120" s="48"/>
      <c r="W120" s="48"/>
      <c r="X120" s="48"/>
      <c r="Y120" s="48"/>
      <c r="Z120" s="48">
        <v>10000</v>
      </c>
      <c r="AA120" s="48"/>
      <c r="AB120" s="48"/>
      <c r="AC120" s="48"/>
      <c r="AD120" s="48"/>
      <c r="AE120" s="48"/>
      <c r="AF120" s="48"/>
      <c r="AG120" s="48"/>
      <c r="AH120" s="48"/>
      <c r="AI120" s="48"/>
    </row>
    <row r="121" spans="1:35" ht="13.5" customHeight="1" x14ac:dyDescent="0.25">
      <c r="A121" s="48">
        <v>20</v>
      </c>
      <c r="B121" s="166" t="s">
        <v>272</v>
      </c>
      <c r="C121" s="166" t="s">
        <v>271</v>
      </c>
      <c r="D121" s="150">
        <f t="shared" si="7"/>
        <v>11000</v>
      </c>
      <c r="E121" s="48"/>
      <c r="F121" s="48"/>
      <c r="G121" s="35"/>
      <c r="H121" s="35"/>
      <c r="I121" s="35"/>
      <c r="J121" s="35"/>
      <c r="K121" s="35"/>
      <c r="L121" s="35"/>
      <c r="M121" s="48"/>
      <c r="N121" s="48"/>
      <c r="O121" s="48">
        <v>11000</v>
      </c>
      <c r="P121" s="48"/>
      <c r="Q121" s="48"/>
      <c r="R121" s="40"/>
      <c r="S121" s="40"/>
      <c r="T121" s="40"/>
      <c r="U121" s="40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</row>
    <row r="122" spans="1:35" ht="13.5" customHeight="1" x14ac:dyDescent="0.25">
      <c r="A122" s="48">
        <v>21</v>
      </c>
      <c r="B122" s="176" t="s">
        <v>1131</v>
      </c>
      <c r="C122" s="176" t="s">
        <v>1129</v>
      </c>
      <c r="D122" s="150">
        <f t="shared" si="7"/>
        <v>2000</v>
      </c>
      <c r="E122" s="48"/>
      <c r="F122" s="48"/>
      <c r="G122" s="35"/>
      <c r="H122" s="35"/>
      <c r="I122" s="35"/>
      <c r="J122" s="35"/>
      <c r="K122" s="35"/>
      <c r="L122" s="35"/>
      <c r="M122" s="48"/>
      <c r="N122" s="48"/>
      <c r="O122" s="48"/>
      <c r="P122" s="48"/>
      <c r="Q122" s="48"/>
      <c r="R122" s="40"/>
      <c r="S122" s="40"/>
      <c r="T122" s="40"/>
      <c r="U122" s="40"/>
      <c r="V122" s="48"/>
      <c r="W122" s="48"/>
      <c r="X122" s="48"/>
      <c r="Y122" s="48"/>
      <c r="Z122" s="48">
        <v>2000</v>
      </c>
      <c r="AA122" s="48"/>
      <c r="AB122" s="48"/>
      <c r="AC122" s="48"/>
      <c r="AD122" s="48"/>
      <c r="AE122" s="48"/>
      <c r="AF122" s="48"/>
      <c r="AG122" s="48"/>
      <c r="AH122" s="48"/>
      <c r="AI122" s="48"/>
    </row>
    <row r="123" spans="1:35" ht="13.5" customHeight="1" x14ac:dyDescent="0.25">
      <c r="A123" s="48">
        <v>22</v>
      </c>
      <c r="B123" s="176" t="s">
        <v>1132</v>
      </c>
      <c r="C123" s="176" t="s">
        <v>1130</v>
      </c>
      <c r="D123" s="150">
        <f t="shared" si="7"/>
        <v>5000</v>
      </c>
      <c r="E123" s="137"/>
      <c r="F123" s="48"/>
      <c r="G123" s="137"/>
      <c r="H123" s="137"/>
      <c r="I123" s="35"/>
      <c r="J123" s="35"/>
      <c r="K123" s="35"/>
      <c r="L123" s="35"/>
      <c r="M123" s="48"/>
      <c r="N123" s="48"/>
      <c r="O123" s="137"/>
      <c r="P123" s="48"/>
      <c r="Q123" s="48"/>
      <c r="R123" s="40"/>
      <c r="S123" s="40"/>
      <c r="T123" s="40"/>
      <c r="U123" s="40"/>
      <c r="V123" s="48"/>
      <c r="W123" s="48"/>
      <c r="X123" s="48"/>
      <c r="Y123" s="48"/>
      <c r="Z123" s="48">
        <v>5000</v>
      </c>
      <c r="AA123" s="48"/>
      <c r="AB123" s="48"/>
      <c r="AC123" s="48"/>
      <c r="AD123" s="48"/>
      <c r="AE123" s="137"/>
      <c r="AF123" s="48"/>
      <c r="AG123" s="48"/>
      <c r="AH123" s="48"/>
      <c r="AI123" s="137"/>
    </row>
    <row r="124" spans="1:35" ht="13.5" customHeight="1" x14ac:dyDescent="0.25">
      <c r="A124" s="48">
        <v>23</v>
      </c>
      <c r="B124" s="166" t="s">
        <v>435</v>
      </c>
      <c r="C124" s="166" t="s">
        <v>434</v>
      </c>
      <c r="D124" s="150">
        <f t="shared" si="7"/>
        <v>48632</v>
      </c>
      <c r="E124" s="48"/>
      <c r="F124" s="48"/>
      <c r="G124" s="35"/>
      <c r="H124" s="35"/>
      <c r="I124" s="35"/>
      <c r="J124" s="35"/>
      <c r="K124" s="35"/>
      <c r="L124" s="35"/>
      <c r="M124" s="48"/>
      <c r="N124" s="48"/>
      <c r="O124" s="48">
        <v>10000</v>
      </c>
      <c r="P124" s="48"/>
      <c r="Q124" s="48"/>
      <c r="R124" s="40"/>
      <c r="S124" s="40"/>
      <c r="T124" s="40"/>
      <c r="U124" s="40"/>
      <c r="V124" s="48">
        <v>8632</v>
      </c>
      <c r="W124" s="48"/>
      <c r="X124" s="48"/>
      <c r="Y124" s="48"/>
      <c r="Z124" s="48"/>
      <c r="AA124" s="48"/>
      <c r="AB124" s="48"/>
      <c r="AC124" s="48"/>
      <c r="AD124" s="48"/>
      <c r="AE124" s="48">
        <v>10000</v>
      </c>
      <c r="AF124" s="48"/>
      <c r="AG124" s="48">
        <v>20000</v>
      </c>
      <c r="AH124" s="48"/>
      <c r="AI124" s="48"/>
    </row>
    <row r="125" spans="1:35" ht="13.5" customHeight="1" x14ac:dyDescent="0.25">
      <c r="A125" s="48">
        <v>24</v>
      </c>
      <c r="B125" s="166" t="s">
        <v>240</v>
      </c>
      <c r="C125" s="166" t="s">
        <v>239</v>
      </c>
      <c r="D125" s="150">
        <f t="shared" si="7"/>
        <v>10000</v>
      </c>
      <c r="E125" s="48"/>
      <c r="F125" s="48"/>
      <c r="G125" s="35"/>
      <c r="H125" s="35"/>
      <c r="I125" s="35"/>
      <c r="J125" s="35"/>
      <c r="K125" s="35"/>
      <c r="L125" s="35">
        <v>10000</v>
      </c>
      <c r="M125" s="48"/>
      <c r="N125" s="48"/>
      <c r="O125" s="48"/>
      <c r="P125" s="48"/>
      <c r="Q125" s="48"/>
      <c r="R125" s="40"/>
      <c r="S125" s="40"/>
      <c r="T125" s="40"/>
      <c r="U125" s="40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</row>
    <row r="126" spans="1:35" ht="13.5" customHeight="1" x14ac:dyDescent="0.25">
      <c r="A126" s="48">
        <v>25</v>
      </c>
      <c r="B126" s="166" t="s">
        <v>148</v>
      </c>
      <c r="C126" s="166" t="s">
        <v>110</v>
      </c>
      <c r="D126" s="150">
        <f t="shared" si="7"/>
        <v>5000</v>
      </c>
      <c r="E126" s="48"/>
      <c r="F126" s="48"/>
      <c r="G126" s="35"/>
      <c r="H126" s="35"/>
      <c r="I126" s="35"/>
      <c r="J126" s="35"/>
      <c r="K126" s="35"/>
      <c r="L126" s="35"/>
      <c r="M126" s="48"/>
      <c r="N126" s="48"/>
      <c r="O126" s="48"/>
      <c r="P126" s="48"/>
      <c r="Q126" s="48"/>
      <c r="R126" s="40"/>
      <c r="S126" s="40"/>
      <c r="T126" s="40"/>
      <c r="U126" s="40"/>
      <c r="V126" s="48"/>
      <c r="W126" s="48"/>
      <c r="X126" s="48"/>
      <c r="Y126" s="48"/>
      <c r="Z126" s="48"/>
      <c r="AA126" s="48"/>
      <c r="AB126" s="48"/>
      <c r="AC126" s="48"/>
      <c r="AD126" s="48">
        <v>5000</v>
      </c>
      <c r="AE126" s="48"/>
      <c r="AF126" s="48"/>
      <c r="AG126" s="48"/>
      <c r="AH126" s="48"/>
      <c r="AI126" s="48"/>
    </row>
    <row r="127" spans="1:35" ht="13.5" customHeight="1" x14ac:dyDescent="0.25">
      <c r="A127" s="48">
        <v>26</v>
      </c>
      <c r="B127" s="166" t="s">
        <v>303</v>
      </c>
      <c r="C127" s="166" t="s">
        <v>302</v>
      </c>
      <c r="D127" s="150">
        <f t="shared" si="7"/>
        <v>0</v>
      </c>
      <c r="E127" s="48"/>
      <c r="F127" s="48"/>
      <c r="G127" s="35"/>
      <c r="H127" s="35"/>
      <c r="I127" s="35"/>
      <c r="J127" s="35"/>
      <c r="K127" s="35"/>
      <c r="L127" s="35"/>
      <c r="M127" s="48"/>
      <c r="N127" s="48"/>
      <c r="O127" s="48"/>
      <c r="P127" s="48"/>
      <c r="Q127" s="48"/>
      <c r="R127" s="40"/>
      <c r="S127" s="40"/>
      <c r="T127" s="40"/>
      <c r="U127" s="40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</row>
    <row r="128" spans="1:35" ht="13.5" customHeight="1" x14ac:dyDescent="0.25">
      <c r="A128" s="48">
        <v>27</v>
      </c>
      <c r="B128" s="166" t="s">
        <v>149</v>
      </c>
      <c r="C128" s="166" t="s">
        <v>111</v>
      </c>
      <c r="D128" s="150">
        <f t="shared" si="7"/>
        <v>0</v>
      </c>
      <c r="E128" s="48"/>
      <c r="F128" s="48"/>
      <c r="G128" s="35"/>
      <c r="H128" s="35"/>
      <c r="I128" s="35"/>
      <c r="J128" s="35"/>
      <c r="K128" s="35"/>
      <c r="L128" s="35"/>
      <c r="M128" s="48"/>
      <c r="N128" s="48"/>
      <c r="O128" s="48"/>
      <c r="P128" s="48"/>
      <c r="Q128" s="48"/>
      <c r="R128" s="40"/>
      <c r="S128" s="40"/>
      <c r="T128" s="40"/>
      <c r="U128" s="40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</row>
    <row r="129" spans="1:35" ht="13.5" customHeight="1" x14ac:dyDescent="0.25">
      <c r="A129" s="48">
        <v>28</v>
      </c>
      <c r="B129" s="166" t="s">
        <v>822</v>
      </c>
      <c r="C129" s="166" t="s">
        <v>821</v>
      </c>
      <c r="D129" s="150">
        <f t="shared" si="7"/>
        <v>5000</v>
      </c>
      <c r="E129" s="48"/>
      <c r="F129" s="48"/>
      <c r="G129" s="35"/>
      <c r="H129" s="35"/>
      <c r="I129" s="35"/>
      <c r="J129" s="35"/>
      <c r="K129" s="35"/>
      <c r="L129" s="35"/>
      <c r="M129" s="48"/>
      <c r="N129" s="48">
        <v>5000</v>
      </c>
      <c r="O129" s="48"/>
      <c r="P129" s="48"/>
      <c r="Q129" s="48"/>
      <c r="R129" s="40"/>
      <c r="S129" s="40"/>
      <c r="T129" s="40"/>
      <c r="U129" s="40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</row>
    <row r="130" spans="1:35" ht="13.5" customHeight="1" x14ac:dyDescent="0.25">
      <c r="A130" s="48">
        <v>29</v>
      </c>
      <c r="B130" s="166" t="s">
        <v>150</v>
      </c>
      <c r="C130" s="166" t="s">
        <v>112</v>
      </c>
      <c r="D130" s="150">
        <f t="shared" si="7"/>
        <v>11900</v>
      </c>
      <c r="E130" s="48"/>
      <c r="F130" s="48"/>
      <c r="G130" s="35"/>
      <c r="H130" s="35"/>
      <c r="I130" s="35"/>
      <c r="J130" s="35"/>
      <c r="K130" s="35"/>
      <c r="L130" s="35"/>
      <c r="M130" s="48"/>
      <c r="N130" s="48"/>
      <c r="O130" s="48"/>
      <c r="P130" s="48"/>
      <c r="Q130" s="48"/>
      <c r="R130" s="40"/>
      <c r="S130" s="40"/>
      <c r="T130" s="40"/>
      <c r="U130" s="40"/>
      <c r="V130" s="48"/>
      <c r="W130" s="48">
        <v>11900</v>
      </c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</row>
    <row r="131" spans="1:35" ht="13.5" customHeight="1" x14ac:dyDescent="0.25">
      <c r="A131" s="48">
        <v>30</v>
      </c>
      <c r="B131" s="166" t="s">
        <v>228</v>
      </c>
      <c r="C131" s="166" t="s">
        <v>227</v>
      </c>
      <c r="D131" s="150">
        <f t="shared" si="7"/>
        <v>15000</v>
      </c>
      <c r="E131" s="48"/>
      <c r="F131" s="48"/>
      <c r="G131" s="35"/>
      <c r="H131" s="35"/>
      <c r="I131" s="35"/>
      <c r="J131" s="35"/>
      <c r="K131" s="35"/>
      <c r="L131" s="35"/>
      <c r="M131" s="48"/>
      <c r="N131" s="48">
        <v>15000</v>
      </c>
      <c r="O131" s="48"/>
      <c r="P131" s="48"/>
      <c r="Q131" s="48"/>
      <c r="R131" s="40"/>
      <c r="S131" s="40"/>
      <c r="T131" s="40"/>
      <c r="U131" s="40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</row>
    <row r="132" spans="1:35" ht="13.5" customHeight="1" x14ac:dyDescent="0.25">
      <c r="A132" s="48">
        <v>31</v>
      </c>
      <c r="B132" s="166" t="s">
        <v>248</v>
      </c>
      <c r="C132" s="166" t="s">
        <v>247</v>
      </c>
      <c r="D132" s="150">
        <f t="shared" si="7"/>
        <v>61320</v>
      </c>
      <c r="E132" s="48"/>
      <c r="F132" s="48"/>
      <c r="G132" s="35"/>
      <c r="H132" s="35"/>
      <c r="I132" s="35"/>
      <c r="J132" s="35"/>
      <c r="K132" s="35">
        <v>10000</v>
      </c>
      <c r="L132" s="35">
        <v>10000</v>
      </c>
      <c r="M132" s="48"/>
      <c r="N132" s="48"/>
      <c r="O132" s="48"/>
      <c r="P132" s="48"/>
      <c r="Q132" s="48"/>
      <c r="R132" s="40"/>
      <c r="S132" s="40"/>
      <c r="T132" s="40"/>
      <c r="U132" s="40"/>
      <c r="V132" s="48">
        <v>3320</v>
      </c>
      <c r="W132" s="48">
        <v>10000</v>
      </c>
      <c r="X132" s="48"/>
      <c r="Y132" s="48">
        <v>7500</v>
      </c>
      <c r="Z132" s="48">
        <v>5000</v>
      </c>
      <c r="AA132" s="48"/>
      <c r="AB132" s="48">
        <v>5000</v>
      </c>
      <c r="AC132" s="48">
        <v>5000</v>
      </c>
      <c r="AD132" s="48">
        <v>5500</v>
      </c>
      <c r="AE132" s="48"/>
      <c r="AF132" s="48"/>
      <c r="AG132" s="48"/>
      <c r="AH132" s="48"/>
      <c r="AI132" s="48"/>
    </row>
    <row r="133" spans="1:35" ht="13.5" customHeight="1" x14ac:dyDescent="0.25">
      <c r="A133" s="48">
        <v>32</v>
      </c>
      <c r="B133" s="166" t="s">
        <v>694</v>
      </c>
      <c r="C133" s="166" t="s">
        <v>693</v>
      </c>
      <c r="D133" s="150">
        <f t="shared" si="7"/>
        <v>1600</v>
      </c>
      <c r="E133" s="48"/>
      <c r="F133" s="48"/>
      <c r="G133" s="35"/>
      <c r="H133" s="35"/>
      <c r="I133" s="35"/>
      <c r="J133" s="35"/>
      <c r="K133" s="35"/>
      <c r="L133" s="35"/>
      <c r="M133" s="48"/>
      <c r="N133" s="48"/>
      <c r="O133" s="48"/>
      <c r="P133" s="48"/>
      <c r="Q133" s="48"/>
      <c r="R133" s="40"/>
      <c r="S133" s="40"/>
      <c r="T133" s="40"/>
      <c r="U133" s="40"/>
      <c r="V133" s="48"/>
      <c r="W133" s="48"/>
      <c r="X133" s="48"/>
      <c r="Y133" s="48"/>
      <c r="Z133" s="48"/>
      <c r="AA133" s="48"/>
      <c r="AB133" s="48">
        <v>1600</v>
      </c>
      <c r="AC133" s="48"/>
      <c r="AD133" s="48"/>
      <c r="AE133" s="48"/>
      <c r="AF133" s="48"/>
      <c r="AG133" s="48"/>
      <c r="AH133" s="48"/>
      <c r="AI133" s="48"/>
    </row>
    <row r="134" spans="1:35" ht="13.5" customHeight="1" x14ac:dyDescent="0.25">
      <c r="A134" s="48">
        <v>33</v>
      </c>
      <c r="B134" s="166" t="s">
        <v>102</v>
      </c>
      <c r="C134" s="166" t="s">
        <v>354</v>
      </c>
      <c r="D134" s="150">
        <f t="shared" si="7"/>
        <v>317700</v>
      </c>
      <c r="E134" s="48"/>
      <c r="F134" s="48"/>
      <c r="G134" s="35"/>
      <c r="H134" s="35"/>
      <c r="I134" s="35"/>
      <c r="J134" s="35">
        <v>45000</v>
      </c>
      <c r="K134" s="35">
        <v>50000</v>
      </c>
      <c r="L134" s="35">
        <v>50000</v>
      </c>
      <c r="M134" s="48">
        <v>50000</v>
      </c>
      <c r="N134" s="48">
        <v>2700</v>
      </c>
      <c r="O134" s="48"/>
      <c r="P134" s="48"/>
      <c r="Q134" s="48"/>
      <c r="R134" s="40"/>
      <c r="S134" s="40"/>
      <c r="T134" s="40"/>
      <c r="U134" s="40"/>
      <c r="V134" s="48"/>
      <c r="W134" s="48"/>
      <c r="X134" s="48"/>
      <c r="Y134" s="48"/>
      <c r="Z134" s="48"/>
      <c r="AA134" s="48"/>
      <c r="AB134" s="48"/>
      <c r="AC134" s="48"/>
      <c r="AD134" s="48">
        <v>30000</v>
      </c>
      <c r="AE134" s="48">
        <v>30000</v>
      </c>
      <c r="AF134" s="48">
        <v>20000</v>
      </c>
      <c r="AG134" s="48">
        <v>20000</v>
      </c>
      <c r="AH134" s="48">
        <v>20000</v>
      </c>
      <c r="AI134" s="48"/>
    </row>
    <row r="135" spans="1:35" ht="13.5" customHeight="1" x14ac:dyDescent="0.25">
      <c r="A135" s="48">
        <v>34</v>
      </c>
      <c r="B135" s="166" t="s">
        <v>467</v>
      </c>
      <c r="C135" s="166" t="s">
        <v>466</v>
      </c>
      <c r="D135" s="150">
        <f t="shared" si="7"/>
        <v>15000</v>
      </c>
      <c r="E135" s="48"/>
      <c r="F135" s="48"/>
      <c r="G135" s="35"/>
      <c r="H135" s="35"/>
      <c r="I135" s="35"/>
      <c r="J135" s="35"/>
      <c r="K135" s="35"/>
      <c r="L135" s="35"/>
      <c r="M135" s="48"/>
      <c r="N135" s="48"/>
      <c r="O135" s="48"/>
      <c r="P135" s="48"/>
      <c r="Q135" s="48"/>
      <c r="R135" s="40"/>
      <c r="S135" s="40"/>
      <c r="T135" s="40"/>
      <c r="U135" s="40"/>
      <c r="V135" s="48"/>
      <c r="W135" s="48"/>
      <c r="X135" s="48"/>
      <c r="Y135" s="48"/>
      <c r="Z135" s="48"/>
      <c r="AA135" s="48">
        <v>15000</v>
      </c>
      <c r="AB135" s="48"/>
      <c r="AC135" s="48"/>
      <c r="AD135" s="48"/>
      <c r="AE135" s="48"/>
      <c r="AF135" s="48"/>
      <c r="AG135" s="48"/>
      <c r="AH135" s="48"/>
      <c r="AI135" s="48"/>
    </row>
    <row r="136" spans="1:35" ht="13.5" customHeight="1" x14ac:dyDescent="0.25">
      <c r="A136" s="48">
        <v>35</v>
      </c>
      <c r="B136" s="166" t="s">
        <v>274</v>
      </c>
      <c r="C136" s="166" t="s">
        <v>273</v>
      </c>
      <c r="D136" s="150">
        <f t="shared" si="7"/>
        <v>200000</v>
      </c>
      <c r="E136" s="48"/>
      <c r="F136" s="48"/>
      <c r="G136" s="35"/>
      <c r="H136" s="35"/>
      <c r="I136" s="35"/>
      <c r="J136" s="35">
        <v>25000</v>
      </c>
      <c r="K136" s="35">
        <v>25000</v>
      </c>
      <c r="L136" s="35"/>
      <c r="M136" s="48"/>
      <c r="N136" s="48">
        <v>15000</v>
      </c>
      <c r="O136" s="48"/>
      <c r="P136" s="48">
        <v>25000</v>
      </c>
      <c r="Q136" s="48"/>
      <c r="R136" s="40"/>
      <c r="S136" s="40"/>
      <c r="T136" s="40"/>
      <c r="U136" s="40">
        <v>25000</v>
      </c>
      <c r="V136" s="48"/>
      <c r="W136" s="48">
        <v>25000</v>
      </c>
      <c r="X136" s="48"/>
      <c r="Y136" s="48"/>
      <c r="Z136" s="48"/>
      <c r="AA136" s="48"/>
      <c r="AB136" s="48">
        <v>10000</v>
      </c>
      <c r="AC136" s="48">
        <v>10000</v>
      </c>
      <c r="AD136" s="48">
        <v>10000</v>
      </c>
      <c r="AE136" s="48"/>
      <c r="AF136" s="48">
        <v>30000</v>
      </c>
      <c r="AG136" s="48"/>
      <c r="AH136" s="48"/>
      <c r="AI136" s="48"/>
    </row>
    <row r="137" spans="1:35" ht="13.5" customHeight="1" x14ac:dyDescent="0.25">
      <c r="A137" s="48">
        <v>36</v>
      </c>
      <c r="B137" s="166" t="s">
        <v>764</v>
      </c>
      <c r="C137" s="166" t="s">
        <v>763</v>
      </c>
      <c r="D137" s="150">
        <f t="shared" si="7"/>
        <v>45000</v>
      </c>
      <c r="E137" s="48"/>
      <c r="F137" s="48"/>
      <c r="G137" s="35"/>
      <c r="H137" s="35"/>
      <c r="I137" s="35"/>
      <c r="J137" s="35"/>
      <c r="K137" s="35"/>
      <c r="L137" s="35"/>
      <c r="M137" s="48"/>
      <c r="N137" s="48">
        <v>20000</v>
      </c>
      <c r="O137" s="48"/>
      <c r="P137" s="48"/>
      <c r="Q137" s="48"/>
      <c r="R137" s="40"/>
      <c r="S137" s="40"/>
      <c r="T137" s="40"/>
      <c r="U137" s="40"/>
      <c r="V137" s="48"/>
      <c r="W137" s="48">
        <v>10000</v>
      </c>
      <c r="X137" s="48"/>
      <c r="Y137" s="48"/>
      <c r="Z137" s="48"/>
      <c r="AA137" s="48"/>
      <c r="AB137" s="48"/>
      <c r="AC137" s="48">
        <v>15000</v>
      </c>
      <c r="AD137" s="48"/>
      <c r="AE137" s="48"/>
      <c r="AF137" s="48"/>
      <c r="AG137" s="48"/>
      <c r="AH137" s="48"/>
      <c r="AI137" s="48"/>
    </row>
    <row r="138" spans="1:35" ht="13.5" customHeight="1" x14ac:dyDescent="0.25">
      <c r="A138" s="48">
        <v>37</v>
      </c>
      <c r="B138" s="166" t="s">
        <v>151</v>
      </c>
      <c r="C138" s="166" t="s">
        <v>96</v>
      </c>
      <c r="D138" s="150">
        <f t="shared" si="7"/>
        <v>65000</v>
      </c>
      <c r="E138" s="48"/>
      <c r="F138" s="48"/>
      <c r="G138" s="35"/>
      <c r="H138" s="35"/>
      <c r="I138" s="35"/>
      <c r="J138" s="35"/>
      <c r="K138" s="35"/>
      <c r="L138" s="35"/>
      <c r="M138" s="48"/>
      <c r="N138" s="48"/>
      <c r="O138" s="48"/>
      <c r="P138" s="48"/>
      <c r="Q138" s="48"/>
      <c r="R138" s="40"/>
      <c r="S138" s="40"/>
      <c r="T138" s="40"/>
      <c r="U138" s="40"/>
      <c r="V138" s="48"/>
      <c r="W138" s="48">
        <v>10000</v>
      </c>
      <c r="X138" s="48">
        <v>15000</v>
      </c>
      <c r="Y138" s="48"/>
      <c r="Z138" s="48">
        <v>20000</v>
      </c>
      <c r="AA138" s="48">
        <v>20000</v>
      </c>
      <c r="AB138" s="48"/>
      <c r="AC138" s="48"/>
      <c r="AD138" s="48"/>
      <c r="AE138" s="48"/>
      <c r="AF138" s="48"/>
      <c r="AG138" s="48"/>
      <c r="AH138" s="48"/>
      <c r="AI138" s="48"/>
    </row>
    <row r="139" spans="1:35" ht="13.5" customHeight="1" x14ac:dyDescent="0.25">
      <c r="A139" s="48">
        <v>38</v>
      </c>
      <c r="B139" s="166" t="s">
        <v>758</v>
      </c>
      <c r="C139" s="166" t="s">
        <v>757</v>
      </c>
      <c r="D139" s="150">
        <f t="shared" si="7"/>
        <v>2000</v>
      </c>
      <c r="E139" s="48"/>
      <c r="F139" s="48"/>
      <c r="G139" s="35"/>
      <c r="H139" s="35"/>
      <c r="I139" s="35"/>
      <c r="J139" s="35"/>
      <c r="K139" s="35"/>
      <c r="L139" s="35"/>
      <c r="M139" s="48"/>
      <c r="N139" s="48"/>
      <c r="O139" s="48"/>
      <c r="P139" s="48">
        <v>2000</v>
      </c>
      <c r="Q139" s="48"/>
      <c r="R139" s="40"/>
      <c r="S139" s="40"/>
      <c r="T139" s="40"/>
      <c r="U139" s="40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</row>
    <row r="140" spans="1:35" ht="13.5" customHeight="1" x14ac:dyDescent="0.25">
      <c r="A140" s="48">
        <v>39</v>
      </c>
      <c r="B140" s="176" t="s">
        <v>1216</v>
      </c>
      <c r="C140" s="176" t="s">
        <v>1215</v>
      </c>
      <c r="D140" s="150">
        <f t="shared" si="7"/>
        <v>10000</v>
      </c>
      <c r="E140" s="137"/>
      <c r="F140" s="48"/>
      <c r="G140" s="137"/>
      <c r="H140" s="137"/>
      <c r="I140" s="35"/>
      <c r="J140" s="137"/>
      <c r="K140" s="137"/>
      <c r="L140" s="35"/>
      <c r="M140" s="48"/>
      <c r="N140" s="137"/>
      <c r="O140" s="137"/>
      <c r="P140" s="137"/>
      <c r="Q140" s="48"/>
      <c r="R140" s="40"/>
      <c r="S140" s="40"/>
      <c r="T140" s="40"/>
      <c r="U140" s="40"/>
      <c r="V140" s="48"/>
      <c r="W140" s="137"/>
      <c r="X140" s="48"/>
      <c r="Y140" s="137"/>
      <c r="Z140" s="137"/>
      <c r="AA140" s="48"/>
      <c r="AB140" s="137"/>
      <c r="AC140" s="137"/>
      <c r="AD140" s="137"/>
      <c r="AE140" s="48">
        <v>10000</v>
      </c>
      <c r="AF140" s="48"/>
      <c r="AG140" s="48"/>
      <c r="AH140" s="48"/>
      <c r="AI140" s="137"/>
    </row>
    <row r="141" spans="1:35" ht="13.5" customHeight="1" x14ac:dyDescent="0.25">
      <c r="A141" s="48">
        <v>40</v>
      </c>
      <c r="B141" s="166" t="s">
        <v>813</v>
      </c>
      <c r="C141" s="166" t="s">
        <v>811</v>
      </c>
      <c r="D141" s="150">
        <f t="shared" si="7"/>
        <v>10000</v>
      </c>
      <c r="E141" s="48"/>
      <c r="F141" s="48"/>
      <c r="G141" s="35"/>
      <c r="H141" s="35"/>
      <c r="I141" s="35"/>
      <c r="J141" s="35"/>
      <c r="K141" s="35"/>
      <c r="L141" s="35"/>
      <c r="M141" s="48"/>
      <c r="N141" s="48"/>
      <c r="O141" s="48"/>
      <c r="P141" s="48"/>
      <c r="Q141" s="48"/>
      <c r="R141" s="40"/>
      <c r="S141" s="40"/>
      <c r="T141" s="40"/>
      <c r="U141" s="40"/>
      <c r="V141" s="48"/>
      <c r="W141" s="48"/>
      <c r="X141" s="48"/>
      <c r="Y141" s="48"/>
      <c r="Z141" s="48">
        <v>5000</v>
      </c>
      <c r="AA141" s="48">
        <v>5000</v>
      </c>
      <c r="AB141" s="48"/>
      <c r="AC141" s="48"/>
      <c r="AD141" s="48"/>
      <c r="AE141" s="48"/>
      <c r="AF141" s="48"/>
      <c r="AG141" s="48"/>
      <c r="AH141" s="48"/>
      <c r="AI141" s="48"/>
    </row>
    <row r="142" spans="1:35" ht="13.5" customHeight="1" x14ac:dyDescent="0.25">
      <c r="A142" s="48">
        <v>41</v>
      </c>
      <c r="B142" s="166" t="s">
        <v>813</v>
      </c>
      <c r="C142" s="166" t="s">
        <v>812</v>
      </c>
      <c r="D142" s="150">
        <f t="shared" si="7"/>
        <v>0</v>
      </c>
      <c r="E142" s="48"/>
      <c r="F142" s="48"/>
      <c r="G142" s="35"/>
      <c r="H142" s="35"/>
      <c r="I142" s="35"/>
      <c r="J142" s="35"/>
      <c r="K142" s="35"/>
      <c r="L142" s="35"/>
      <c r="M142" s="48"/>
      <c r="N142" s="48"/>
      <c r="O142" s="48"/>
      <c r="P142" s="48"/>
      <c r="Q142" s="48"/>
      <c r="R142" s="40"/>
      <c r="S142" s="40"/>
      <c r="T142" s="40"/>
      <c r="U142" s="40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</row>
    <row r="143" spans="1:35" ht="13.5" customHeight="1" x14ac:dyDescent="0.25">
      <c r="A143" s="48">
        <v>42</v>
      </c>
      <c r="B143" s="166" t="s">
        <v>264</v>
      </c>
      <c r="C143" s="166" t="s">
        <v>263</v>
      </c>
      <c r="D143" s="150">
        <f t="shared" si="7"/>
        <v>0</v>
      </c>
      <c r="E143" s="48"/>
      <c r="F143" s="48"/>
      <c r="G143" s="35"/>
      <c r="H143" s="35"/>
      <c r="I143" s="35"/>
      <c r="J143" s="35"/>
      <c r="K143" s="35"/>
      <c r="L143" s="35"/>
      <c r="M143" s="48"/>
      <c r="N143" s="48"/>
      <c r="O143" s="48"/>
      <c r="P143" s="48"/>
      <c r="Q143" s="48"/>
      <c r="R143" s="40"/>
      <c r="S143" s="40"/>
      <c r="T143" s="40"/>
      <c r="U143" s="40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</row>
    <row r="144" spans="1:35" ht="13.5" customHeight="1" x14ac:dyDescent="0.25">
      <c r="A144" s="141" t="s">
        <v>140</v>
      </c>
      <c r="B144" s="33" t="s">
        <v>123</v>
      </c>
      <c r="C144" s="141" t="s">
        <v>141</v>
      </c>
      <c r="D144" s="143">
        <f t="shared" ref="D144:AI144" si="8">SUM(D145:D302)</f>
        <v>404902</v>
      </c>
      <c r="E144" s="143">
        <f t="shared" si="8"/>
        <v>17500</v>
      </c>
      <c r="F144" s="143">
        <f t="shared" si="8"/>
        <v>0</v>
      </c>
      <c r="G144" s="143">
        <f t="shared" si="8"/>
        <v>19720</v>
      </c>
      <c r="H144" s="143">
        <f t="shared" si="8"/>
        <v>0</v>
      </c>
      <c r="I144" s="143">
        <f t="shared" si="8"/>
        <v>11600</v>
      </c>
      <c r="J144" s="143">
        <f t="shared" si="8"/>
        <v>15230</v>
      </c>
      <c r="K144" s="143">
        <f t="shared" si="8"/>
        <v>8760</v>
      </c>
      <c r="L144" s="143">
        <f t="shared" si="8"/>
        <v>26600</v>
      </c>
      <c r="M144" s="143">
        <f t="shared" si="8"/>
        <v>0</v>
      </c>
      <c r="N144" s="143">
        <f t="shared" si="8"/>
        <v>35200</v>
      </c>
      <c r="O144" s="143">
        <f t="shared" si="8"/>
        <v>0</v>
      </c>
      <c r="P144" s="143">
        <f t="shared" si="8"/>
        <v>28460</v>
      </c>
      <c r="Q144" s="143">
        <f t="shared" si="8"/>
        <v>0</v>
      </c>
      <c r="R144" s="143">
        <f t="shared" si="8"/>
        <v>0</v>
      </c>
      <c r="S144" s="143">
        <f t="shared" si="8"/>
        <v>0</v>
      </c>
      <c r="T144" s="143">
        <f t="shared" si="8"/>
        <v>0</v>
      </c>
      <c r="U144" s="143">
        <f t="shared" si="8"/>
        <v>0</v>
      </c>
      <c r="V144" s="143">
        <f t="shared" si="8"/>
        <v>25000</v>
      </c>
      <c r="W144" s="143">
        <f t="shared" si="8"/>
        <v>14700</v>
      </c>
      <c r="X144" s="48">
        <f t="shared" si="8"/>
        <v>37500</v>
      </c>
      <c r="Y144" s="143">
        <f t="shared" si="8"/>
        <v>0</v>
      </c>
      <c r="Z144" s="143">
        <f t="shared" si="8"/>
        <v>15820</v>
      </c>
      <c r="AA144" s="143">
        <f t="shared" si="8"/>
        <v>27090</v>
      </c>
      <c r="AB144" s="143">
        <f t="shared" si="8"/>
        <v>1360</v>
      </c>
      <c r="AC144" s="143">
        <f t="shared" si="8"/>
        <v>24140</v>
      </c>
      <c r="AD144" s="143">
        <f t="shared" si="8"/>
        <v>6000</v>
      </c>
      <c r="AE144" s="143">
        <f t="shared" si="8"/>
        <v>5380</v>
      </c>
      <c r="AF144" s="143">
        <f t="shared" si="8"/>
        <v>29442</v>
      </c>
      <c r="AG144" s="143">
        <f t="shared" si="8"/>
        <v>400</v>
      </c>
      <c r="AH144" s="143">
        <f t="shared" si="8"/>
        <v>0</v>
      </c>
      <c r="AI144" s="143">
        <f t="shared" si="8"/>
        <v>55000</v>
      </c>
    </row>
    <row r="145" spans="1:35" ht="13.5" customHeight="1" x14ac:dyDescent="0.25">
      <c r="A145" s="48">
        <v>1</v>
      </c>
      <c r="B145" s="166" t="s">
        <v>547</v>
      </c>
      <c r="C145" s="166" t="s">
        <v>546</v>
      </c>
      <c r="D145" s="150">
        <f t="shared" ref="D145:D176" si="9">SUM(E145:AI145)</f>
        <v>0</v>
      </c>
      <c r="E145" s="48"/>
      <c r="F145" s="48"/>
      <c r="G145" s="35"/>
      <c r="H145" s="35"/>
      <c r="I145" s="35"/>
      <c r="J145" s="35"/>
      <c r="K145" s="35"/>
      <c r="L145" s="35"/>
      <c r="M145" s="48"/>
      <c r="N145" s="48"/>
      <c r="O145" s="48"/>
      <c r="P145" s="48"/>
      <c r="Q145" s="48"/>
      <c r="R145" s="40"/>
      <c r="S145" s="40"/>
      <c r="T145" s="40"/>
      <c r="U145" s="40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</row>
    <row r="146" spans="1:35" ht="13.5" customHeight="1" x14ac:dyDescent="0.25">
      <c r="A146" s="48">
        <v>2</v>
      </c>
      <c r="B146" s="166" t="s">
        <v>863</v>
      </c>
      <c r="C146" s="166" t="s">
        <v>862</v>
      </c>
      <c r="D146" s="150">
        <f t="shared" si="9"/>
        <v>0</v>
      </c>
      <c r="E146" s="48"/>
      <c r="F146" s="48"/>
      <c r="G146" s="35"/>
      <c r="H146" s="35"/>
      <c r="I146" s="35"/>
      <c r="J146" s="35"/>
      <c r="K146" s="35"/>
      <c r="L146" s="35"/>
      <c r="M146" s="48"/>
      <c r="N146" s="48"/>
      <c r="O146" s="48"/>
      <c r="P146" s="48"/>
      <c r="Q146" s="48"/>
      <c r="R146" s="40"/>
      <c r="S146" s="40"/>
      <c r="T146" s="40"/>
      <c r="U146" s="40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</row>
    <row r="147" spans="1:35" ht="13.5" customHeight="1" x14ac:dyDescent="0.25">
      <c r="A147" s="48">
        <v>3</v>
      </c>
      <c r="B147" s="166" t="s">
        <v>557</v>
      </c>
      <c r="C147" s="166" t="s">
        <v>556</v>
      </c>
      <c r="D147" s="150">
        <f t="shared" si="9"/>
        <v>2500</v>
      </c>
      <c r="E147" s="137"/>
      <c r="F147" s="48"/>
      <c r="G147" s="137"/>
      <c r="H147" s="137"/>
      <c r="I147" s="35"/>
      <c r="J147" s="35"/>
      <c r="K147" s="137"/>
      <c r="L147" s="137"/>
      <c r="M147" s="48"/>
      <c r="N147" s="48"/>
      <c r="O147" s="137"/>
      <c r="P147" s="137"/>
      <c r="Q147" s="48"/>
      <c r="R147" s="40"/>
      <c r="S147" s="40"/>
      <c r="T147" s="40"/>
      <c r="U147" s="137"/>
      <c r="V147" s="48"/>
      <c r="W147" s="137"/>
      <c r="X147" s="48">
        <v>2500</v>
      </c>
      <c r="Y147" s="137"/>
      <c r="Z147" s="48"/>
      <c r="AA147" s="48"/>
      <c r="AB147" s="137"/>
      <c r="AC147" s="137"/>
      <c r="AD147" s="48"/>
      <c r="AE147" s="48"/>
      <c r="AF147" s="137"/>
      <c r="AG147" s="48"/>
      <c r="AH147" s="48"/>
      <c r="AI147" s="137"/>
    </row>
    <row r="148" spans="1:35" ht="13.5" customHeight="1" x14ac:dyDescent="0.25">
      <c r="A148" s="48">
        <v>4</v>
      </c>
      <c r="B148" s="166" t="s">
        <v>555</v>
      </c>
      <c r="C148" s="166" t="s">
        <v>554</v>
      </c>
      <c r="D148" s="150">
        <f t="shared" si="9"/>
        <v>0</v>
      </c>
      <c r="E148" s="48"/>
      <c r="F148" s="48"/>
      <c r="G148" s="35"/>
      <c r="H148" s="35"/>
      <c r="I148" s="35"/>
      <c r="J148" s="35"/>
      <c r="K148" s="35"/>
      <c r="L148" s="35"/>
      <c r="M148" s="48"/>
      <c r="N148" s="48"/>
      <c r="O148" s="48"/>
      <c r="P148" s="48"/>
      <c r="Q148" s="48"/>
      <c r="R148" s="40"/>
      <c r="S148" s="40"/>
      <c r="T148" s="40"/>
      <c r="U148" s="40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</row>
    <row r="149" spans="1:35" ht="13.5" customHeight="1" x14ac:dyDescent="0.25">
      <c r="A149" s="48">
        <v>5</v>
      </c>
      <c r="B149" s="166" t="s">
        <v>551</v>
      </c>
      <c r="C149" s="166" t="s">
        <v>550</v>
      </c>
      <c r="D149" s="150">
        <f t="shared" si="9"/>
        <v>2500</v>
      </c>
      <c r="E149" s="48"/>
      <c r="F149" s="48"/>
      <c r="G149" s="35"/>
      <c r="H149" s="35"/>
      <c r="I149" s="35"/>
      <c r="J149" s="35"/>
      <c r="K149" s="35"/>
      <c r="L149" s="35"/>
      <c r="M149" s="48"/>
      <c r="N149" s="48"/>
      <c r="O149" s="48"/>
      <c r="P149" s="48"/>
      <c r="Q149" s="48"/>
      <c r="R149" s="40"/>
      <c r="S149" s="40"/>
      <c r="T149" s="40"/>
      <c r="U149" s="40"/>
      <c r="V149" s="48"/>
      <c r="W149" s="48"/>
      <c r="X149" s="48">
        <v>2500</v>
      </c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</row>
    <row r="150" spans="1:35" ht="13.5" customHeight="1" x14ac:dyDescent="0.25">
      <c r="A150" s="48">
        <v>6</v>
      </c>
      <c r="B150" s="166" t="s">
        <v>675</v>
      </c>
      <c r="C150" s="166" t="s">
        <v>670</v>
      </c>
      <c r="D150" s="150">
        <f t="shared" si="9"/>
        <v>60</v>
      </c>
      <c r="E150" s="48"/>
      <c r="F150" s="48"/>
      <c r="G150" s="35"/>
      <c r="H150" s="35"/>
      <c r="I150" s="35"/>
      <c r="J150" s="35"/>
      <c r="K150" s="35"/>
      <c r="L150" s="35"/>
      <c r="M150" s="48"/>
      <c r="N150" s="48"/>
      <c r="O150" s="48"/>
      <c r="P150" s="48"/>
      <c r="Q150" s="48"/>
      <c r="R150" s="40"/>
      <c r="S150" s="40"/>
      <c r="T150" s="40"/>
      <c r="U150" s="40"/>
      <c r="V150" s="48"/>
      <c r="W150" s="48"/>
      <c r="X150" s="48"/>
      <c r="Y150" s="48"/>
      <c r="Z150" s="48"/>
      <c r="AA150" s="48"/>
      <c r="AB150" s="48"/>
      <c r="AC150" s="48"/>
      <c r="AD150" s="48"/>
      <c r="AE150" s="48">
        <v>60</v>
      </c>
      <c r="AF150" s="48"/>
      <c r="AG150" s="48"/>
      <c r="AH150" s="48"/>
      <c r="AI150" s="48"/>
    </row>
    <row r="151" spans="1:35" ht="13.5" customHeight="1" x14ac:dyDescent="0.25">
      <c r="A151" s="48">
        <v>7</v>
      </c>
      <c r="B151" s="166" t="s">
        <v>827</v>
      </c>
      <c r="C151" s="166" t="s">
        <v>825</v>
      </c>
      <c r="D151" s="150">
        <f t="shared" si="9"/>
        <v>1000</v>
      </c>
      <c r="E151" s="48"/>
      <c r="F151" s="48"/>
      <c r="G151" s="35"/>
      <c r="H151" s="35"/>
      <c r="I151" s="35"/>
      <c r="J151" s="35"/>
      <c r="K151" s="35"/>
      <c r="L151" s="35"/>
      <c r="M151" s="48"/>
      <c r="N151" s="48"/>
      <c r="O151" s="48"/>
      <c r="P151" s="48"/>
      <c r="Q151" s="48"/>
      <c r="R151" s="40"/>
      <c r="S151" s="40"/>
      <c r="T151" s="40"/>
      <c r="U151" s="40"/>
      <c r="V151" s="48"/>
      <c r="W151" s="48"/>
      <c r="X151" s="48"/>
      <c r="Y151" s="48"/>
      <c r="Z151" s="48">
        <v>1000</v>
      </c>
      <c r="AA151" s="48"/>
      <c r="AB151" s="48"/>
      <c r="AC151" s="48"/>
      <c r="AD151" s="48"/>
      <c r="AE151" s="48"/>
      <c r="AF151" s="48"/>
      <c r="AG151" s="48"/>
      <c r="AH151" s="48"/>
      <c r="AI151" s="48"/>
    </row>
    <row r="152" spans="1:35" ht="13.5" customHeight="1" x14ac:dyDescent="0.25">
      <c r="A152" s="48">
        <v>8</v>
      </c>
      <c r="B152" s="176" t="s">
        <v>1136</v>
      </c>
      <c r="C152" s="176" t="s">
        <v>1133</v>
      </c>
      <c r="D152" s="150">
        <f t="shared" si="9"/>
        <v>9200</v>
      </c>
      <c r="E152" s="48"/>
      <c r="F152" s="48"/>
      <c r="G152" s="35"/>
      <c r="H152" s="35"/>
      <c r="I152" s="35"/>
      <c r="J152" s="35"/>
      <c r="K152" s="35"/>
      <c r="L152" s="35"/>
      <c r="M152" s="48"/>
      <c r="N152" s="48"/>
      <c r="O152" s="48"/>
      <c r="P152" s="48"/>
      <c r="Q152" s="48"/>
      <c r="R152" s="40"/>
      <c r="S152" s="40"/>
      <c r="T152" s="40"/>
      <c r="U152" s="40"/>
      <c r="V152" s="48"/>
      <c r="W152" s="48"/>
      <c r="X152" s="48"/>
      <c r="Y152" s="48"/>
      <c r="Z152" s="48">
        <v>9200</v>
      </c>
      <c r="AA152" s="48"/>
      <c r="AB152" s="48"/>
      <c r="AC152" s="48"/>
      <c r="AD152" s="48"/>
      <c r="AE152" s="48"/>
      <c r="AF152" s="48"/>
      <c r="AG152" s="48"/>
      <c r="AH152" s="48"/>
      <c r="AI152" s="48"/>
    </row>
    <row r="153" spans="1:35" ht="13.5" customHeight="1" x14ac:dyDescent="0.25">
      <c r="A153" s="48">
        <v>9</v>
      </c>
      <c r="B153" s="176" t="s">
        <v>1137</v>
      </c>
      <c r="C153" s="176" t="s">
        <v>1134</v>
      </c>
      <c r="D153" s="150">
        <f t="shared" si="9"/>
        <v>1500</v>
      </c>
      <c r="E153" s="48"/>
      <c r="F153" s="48"/>
      <c r="G153" s="35"/>
      <c r="H153" s="35"/>
      <c r="I153" s="35"/>
      <c r="J153" s="35"/>
      <c r="K153" s="35"/>
      <c r="L153" s="35"/>
      <c r="M153" s="48"/>
      <c r="N153" s="48"/>
      <c r="O153" s="48"/>
      <c r="P153" s="48"/>
      <c r="Q153" s="48"/>
      <c r="R153" s="40"/>
      <c r="S153" s="40"/>
      <c r="T153" s="40"/>
      <c r="U153" s="40"/>
      <c r="V153" s="48"/>
      <c r="W153" s="48"/>
      <c r="X153" s="48"/>
      <c r="Y153" s="48"/>
      <c r="Z153" s="48">
        <v>1500</v>
      </c>
      <c r="AA153" s="48"/>
      <c r="AB153" s="48"/>
      <c r="AC153" s="48"/>
      <c r="AD153" s="48"/>
      <c r="AE153" s="48"/>
      <c r="AF153" s="48"/>
      <c r="AG153" s="48"/>
      <c r="AH153" s="48"/>
      <c r="AI153" s="48"/>
    </row>
    <row r="154" spans="1:35" ht="13.5" customHeight="1" x14ac:dyDescent="0.25">
      <c r="A154" s="48">
        <v>10</v>
      </c>
      <c r="B154" s="176" t="s">
        <v>1138</v>
      </c>
      <c r="C154" s="176" t="s">
        <v>1135</v>
      </c>
      <c r="D154" s="150">
        <f t="shared" si="9"/>
        <v>400</v>
      </c>
      <c r="E154" s="48"/>
      <c r="F154" s="48"/>
      <c r="G154" s="35"/>
      <c r="H154" s="35"/>
      <c r="I154" s="35"/>
      <c r="J154" s="35"/>
      <c r="K154" s="35"/>
      <c r="L154" s="35"/>
      <c r="M154" s="48"/>
      <c r="N154" s="48"/>
      <c r="O154" s="48"/>
      <c r="P154" s="48"/>
      <c r="Q154" s="48"/>
      <c r="R154" s="40"/>
      <c r="S154" s="40"/>
      <c r="T154" s="40"/>
      <c r="U154" s="40"/>
      <c r="V154" s="48"/>
      <c r="W154" s="48"/>
      <c r="X154" s="48"/>
      <c r="Y154" s="48"/>
      <c r="Z154" s="48">
        <v>400</v>
      </c>
      <c r="AA154" s="48"/>
      <c r="AB154" s="48"/>
      <c r="AC154" s="48"/>
      <c r="AD154" s="48"/>
      <c r="AE154" s="48"/>
      <c r="AF154" s="48"/>
      <c r="AG154" s="48"/>
      <c r="AH154" s="48"/>
      <c r="AI154" s="48"/>
    </row>
    <row r="155" spans="1:35" ht="13.5" customHeight="1" x14ac:dyDescent="0.25">
      <c r="A155" s="48">
        <v>11</v>
      </c>
      <c r="B155" s="176" t="s">
        <v>869</v>
      </c>
      <c r="C155" s="176" t="s">
        <v>868</v>
      </c>
      <c r="D155" s="150">
        <f t="shared" si="9"/>
        <v>5000</v>
      </c>
      <c r="E155" s="48"/>
      <c r="F155" s="48"/>
      <c r="G155" s="35"/>
      <c r="H155" s="35"/>
      <c r="I155" s="35"/>
      <c r="J155" s="35"/>
      <c r="K155" s="35"/>
      <c r="L155" s="35"/>
      <c r="M155" s="48"/>
      <c r="N155" s="48"/>
      <c r="O155" s="48"/>
      <c r="P155" s="48">
        <v>5000</v>
      </c>
      <c r="Q155" s="48"/>
      <c r="R155" s="40"/>
      <c r="S155" s="40"/>
      <c r="T155" s="40"/>
      <c r="U155" s="40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</row>
    <row r="156" spans="1:35" ht="13.5" customHeight="1" x14ac:dyDescent="0.25">
      <c r="A156" s="48">
        <v>12</v>
      </c>
      <c r="B156" s="176" t="s">
        <v>925</v>
      </c>
      <c r="C156" s="176" t="s">
        <v>924</v>
      </c>
      <c r="D156" s="150">
        <f t="shared" si="9"/>
        <v>4000</v>
      </c>
      <c r="E156" s="48"/>
      <c r="F156" s="48"/>
      <c r="G156" s="35"/>
      <c r="H156" s="35"/>
      <c r="I156" s="35"/>
      <c r="J156" s="35"/>
      <c r="K156" s="35"/>
      <c r="L156" s="35"/>
      <c r="M156" s="48"/>
      <c r="N156" s="48"/>
      <c r="O156" s="48"/>
      <c r="P156" s="48"/>
      <c r="Q156" s="48"/>
      <c r="R156" s="40"/>
      <c r="S156" s="40"/>
      <c r="T156" s="40"/>
      <c r="U156" s="40"/>
      <c r="V156" s="48">
        <v>4000</v>
      </c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</row>
    <row r="157" spans="1:35" ht="13.5" customHeight="1" x14ac:dyDescent="0.25">
      <c r="A157" s="48">
        <v>13</v>
      </c>
      <c r="B157" s="176" t="s">
        <v>930</v>
      </c>
      <c r="C157" s="176" t="s">
        <v>928</v>
      </c>
      <c r="D157" s="150">
        <f t="shared" si="9"/>
        <v>0</v>
      </c>
      <c r="E157" s="48"/>
      <c r="F157" s="48"/>
      <c r="G157" s="35"/>
      <c r="H157" s="35"/>
      <c r="I157" s="35"/>
      <c r="J157" s="35"/>
      <c r="K157" s="35"/>
      <c r="L157" s="35"/>
      <c r="M157" s="48"/>
      <c r="N157" s="48"/>
      <c r="O157" s="48"/>
      <c r="P157" s="48"/>
      <c r="Q157" s="48"/>
      <c r="R157" s="40"/>
      <c r="S157" s="40"/>
      <c r="T157" s="40"/>
      <c r="U157" s="40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</row>
    <row r="158" spans="1:35" ht="13.5" customHeight="1" x14ac:dyDescent="0.25">
      <c r="A158" s="48">
        <v>14</v>
      </c>
      <c r="B158" s="176" t="s">
        <v>931</v>
      </c>
      <c r="C158" s="176" t="s">
        <v>929</v>
      </c>
      <c r="D158" s="150">
        <f t="shared" si="9"/>
        <v>0</v>
      </c>
      <c r="E158" s="48"/>
      <c r="F158" s="48"/>
      <c r="G158" s="35"/>
      <c r="H158" s="35"/>
      <c r="I158" s="35"/>
      <c r="J158" s="35"/>
      <c r="K158" s="35"/>
      <c r="L158" s="35"/>
      <c r="M158" s="48"/>
      <c r="N158" s="48"/>
      <c r="O158" s="48"/>
      <c r="P158" s="48"/>
      <c r="Q158" s="48"/>
      <c r="R158" s="40"/>
      <c r="S158" s="40"/>
      <c r="T158" s="40"/>
      <c r="U158" s="40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</row>
    <row r="159" spans="1:35" ht="13.5" customHeight="1" x14ac:dyDescent="0.25">
      <c r="A159" s="48">
        <v>15</v>
      </c>
      <c r="B159" s="176" t="s">
        <v>927</v>
      </c>
      <c r="C159" s="176" t="s">
        <v>926</v>
      </c>
      <c r="D159" s="150">
        <f t="shared" si="9"/>
        <v>0</v>
      </c>
      <c r="E159" s="48"/>
      <c r="F159" s="48"/>
      <c r="G159" s="35"/>
      <c r="H159" s="35"/>
      <c r="I159" s="35"/>
      <c r="J159" s="35"/>
      <c r="K159" s="35"/>
      <c r="L159" s="35"/>
      <c r="M159" s="48"/>
      <c r="N159" s="48"/>
      <c r="O159" s="48"/>
      <c r="P159" s="48"/>
      <c r="Q159" s="48"/>
      <c r="R159" s="40"/>
      <c r="S159" s="40"/>
      <c r="T159" s="40"/>
      <c r="U159" s="40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</row>
    <row r="160" spans="1:35" ht="13.5" customHeight="1" x14ac:dyDescent="0.25">
      <c r="A160" s="48">
        <v>16</v>
      </c>
      <c r="B160" s="166" t="s">
        <v>828</v>
      </c>
      <c r="C160" s="166" t="s">
        <v>826</v>
      </c>
      <c r="D160" s="150">
        <f t="shared" si="9"/>
        <v>500</v>
      </c>
      <c r="E160" s="48"/>
      <c r="F160" s="48"/>
      <c r="G160" s="35"/>
      <c r="H160" s="35"/>
      <c r="I160" s="35"/>
      <c r="J160" s="35"/>
      <c r="K160" s="35"/>
      <c r="L160" s="35"/>
      <c r="M160" s="48"/>
      <c r="N160" s="48"/>
      <c r="O160" s="48"/>
      <c r="P160" s="48"/>
      <c r="Q160" s="48"/>
      <c r="R160" s="40"/>
      <c r="S160" s="40"/>
      <c r="T160" s="40"/>
      <c r="U160" s="40"/>
      <c r="V160" s="48"/>
      <c r="W160" s="48"/>
      <c r="X160" s="48"/>
      <c r="Y160" s="48"/>
      <c r="Z160" s="48"/>
      <c r="AA160" s="48"/>
      <c r="AB160" s="48"/>
      <c r="AC160" s="48"/>
      <c r="AD160" s="48"/>
      <c r="AE160" s="48">
        <v>500</v>
      </c>
      <c r="AF160" s="48"/>
      <c r="AG160" s="48"/>
      <c r="AH160" s="48"/>
      <c r="AI160" s="48"/>
    </row>
    <row r="161" spans="1:35" ht="13.5" customHeight="1" x14ac:dyDescent="0.25">
      <c r="A161" s="48">
        <v>17</v>
      </c>
      <c r="B161" s="176" t="s">
        <v>893</v>
      </c>
      <c r="C161" s="176" t="s">
        <v>892</v>
      </c>
      <c r="D161" s="150">
        <f t="shared" si="9"/>
        <v>0</v>
      </c>
      <c r="E161" s="48"/>
      <c r="F161" s="48"/>
      <c r="G161" s="35"/>
      <c r="H161" s="35"/>
      <c r="I161" s="35"/>
      <c r="J161" s="35"/>
      <c r="K161" s="35"/>
      <c r="L161" s="35"/>
      <c r="M161" s="48"/>
      <c r="N161" s="48"/>
      <c r="O161" s="48"/>
      <c r="P161" s="48"/>
      <c r="Q161" s="48"/>
      <c r="R161" s="40"/>
      <c r="S161" s="40"/>
      <c r="T161" s="40"/>
      <c r="U161" s="40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</row>
    <row r="162" spans="1:35" ht="13.5" customHeight="1" x14ac:dyDescent="0.25">
      <c r="A162" s="48">
        <v>18</v>
      </c>
      <c r="B162" s="176" t="s">
        <v>1027</v>
      </c>
      <c r="C162" s="176" t="s">
        <v>1025</v>
      </c>
      <c r="D162" s="150">
        <f t="shared" si="9"/>
        <v>5200</v>
      </c>
      <c r="E162" s="48"/>
      <c r="F162" s="48"/>
      <c r="G162" s="35"/>
      <c r="H162" s="35"/>
      <c r="I162" s="35"/>
      <c r="J162" s="35"/>
      <c r="K162" s="35"/>
      <c r="L162" s="35"/>
      <c r="M162" s="48"/>
      <c r="N162" s="48">
        <v>5200</v>
      </c>
      <c r="O162" s="48"/>
      <c r="P162" s="48"/>
      <c r="Q162" s="48"/>
      <c r="R162" s="40"/>
      <c r="S162" s="40"/>
      <c r="T162" s="40"/>
      <c r="U162" s="40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</row>
    <row r="163" spans="1:35" ht="13.5" customHeight="1" x14ac:dyDescent="0.25">
      <c r="A163" s="48">
        <v>19</v>
      </c>
      <c r="B163" s="176" t="s">
        <v>1028</v>
      </c>
      <c r="C163" s="176" t="s">
        <v>1026</v>
      </c>
      <c r="D163" s="150">
        <f t="shared" si="9"/>
        <v>30000</v>
      </c>
      <c r="E163" s="48"/>
      <c r="F163" s="48"/>
      <c r="G163" s="35"/>
      <c r="H163" s="35"/>
      <c r="I163" s="35"/>
      <c r="J163" s="35"/>
      <c r="K163" s="35"/>
      <c r="L163" s="35"/>
      <c r="M163" s="48"/>
      <c r="N163" s="48">
        <v>30000</v>
      </c>
      <c r="O163" s="48"/>
      <c r="P163" s="48"/>
      <c r="Q163" s="48"/>
      <c r="R163" s="40"/>
      <c r="S163" s="40"/>
      <c r="T163" s="40"/>
      <c r="U163" s="40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</row>
    <row r="164" spans="1:35" ht="13.5" customHeight="1" x14ac:dyDescent="0.25">
      <c r="A164" s="48">
        <v>20</v>
      </c>
      <c r="B164" s="166" t="s">
        <v>676</v>
      </c>
      <c r="C164" s="166" t="s">
        <v>671</v>
      </c>
      <c r="D164" s="150">
        <f t="shared" si="9"/>
        <v>240</v>
      </c>
      <c r="E164" s="48"/>
      <c r="F164" s="48"/>
      <c r="G164" s="35"/>
      <c r="H164" s="35"/>
      <c r="I164" s="35"/>
      <c r="J164" s="35"/>
      <c r="K164" s="35"/>
      <c r="L164" s="35"/>
      <c r="M164" s="48"/>
      <c r="N164" s="48"/>
      <c r="O164" s="48"/>
      <c r="P164" s="48"/>
      <c r="Q164" s="48"/>
      <c r="R164" s="40"/>
      <c r="S164" s="40"/>
      <c r="T164" s="40"/>
      <c r="U164" s="40"/>
      <c r="V164" s="48"/>
      <c r="W164" s="48"/>
      <c r="X164" s="48"/>
      <c r="Y164" s="48"/>
      <c r="Z164" s="48"/>
      <c r="AA164" s="48"/>
      <c r="AB164" s="48"/>
      <c r="AC164" s="48"/>
      <c r="AD164" s="48"/>
      <c r="AE164" s="48">
        <v>240</v>
      </c>
      <c r="AF164" s="48"/>
      <c r="AG164" s="48"/>
      <c r="AH164" s="48"/>
      <c r="AI164" s="48"/>
    </row>
    <row r="165" spans="1:35" ht="13.5" customHeight="1" x14ac:dyDescent="0.25">
      <c r="A165" s="48">
        <v>22</v>
      </c>
      <c r="B165" s="176" t="s">
        <v>1101</v>
      </c>
      <c r="C165" s="176" t="s">
        <v>1097</v>
      </c>
      <c r="D165" s="150">
        <f t="shared" si="9"/>
        <v>2500</v>
      </c>
      <c r="E165" s="48"/>
      <c r="F165" s="48"/>
      <c r="G165" s="35"/>
      <c r="H165" s="35"/>
      <c r="I165" s="35"/>
      <c r="J165" s="35"/>
      <c r="K165" s="35"/>
      <c r="L165" s="35"/>
      <c r="M165" s="48"/>
      <c r="N165" s="48"/>
      <c r="O165" s="48"/>
      <c r="P165" s="48"/>
      <c r="Q165" s="48"/>
      <c r="R165" s="40"/>
      <c r="S165" s="40"/>
      <c r="T165" s="40"/>
      <c r="U165" s="40"/>
      <c r="V165" s="48"/>
      <c r="W165" s="48"/>
      <c r="X165" s="48">
        <v>2500</v>
      </c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</row>
    <row r="166" spans="1:35" ht="13.5" customHeight="1" x14ac:dyDescent="0.25">
      <c r="A166" s="48">
        <v>23</v>
      </c>
      <c r="B166" s="176" t="s">
        <v>1102</v>
      </c>
      <c r="C166" s="176" t="s">
        <v>1098</v>
      </c>
      <c r="D166" s="150">
        <f t="shared" si="9"/>
        <v>2500</v>
      </c>
      <c r="E166" s="48"/>
      <c r="F166" s="48"/>
      <c r="G166" s="35"/>
      <c r="H166" s="35"/>
      <c r="I166" s="35"/>
      <c r="J166" s="35"/>
      <c r="K166" s="35"/>
      <c r="L166" s="35"/>
      <c r="M166" s="48"/>
      <c r="N166" s="48"/>
      <c r="O166" s="48"/>
      <c r="P166" s="48"/>
      <c r="Q166" s="48"/>
      <c r="R166" s="40"/>
      <c r="S166" s="40"/>
      <c r="T166" s="40"/>
      <c r="U166" s="40"/>
      <c r="V166" s="48"/>
      <c r="W166" s="48"/>
      <c r="X166" s="48">
        <v>2500</v>
      </c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</row>
    <row r="167" spans="1:35" ht="13.5" customHeight="1" x14ac:dyDescent="0.25">
      <c r="A167" s="48">
        <v>24</v>
      </c>
      <c r="B167" s="176" t="s">
        <v>1103</v>
      </c>
      <c r="C167" s="176" t="s">
        <v>1099</v>
      </c>
      <c r="D167" s="150">
        <f t="shared" si="9"/>
        <v>500</v>
      </c>
      <c r="E167" s="48"/>
      <c r="F167" s="48"/>
      <c r="G167" s="35"/>
      <c r="H167" s="35"/>
      <c r="I167" s="35"/>
      <c r="J167" s="35"/>
      <c r="K167" s="35"/>
      <c r="L167" s="35"/>
      <c r="M167" s="48"/>
      <c r="N167" s="48"/>
      <c r="O167" s="48"/>
      <c r="P167" s="48"/>
      <c r="Q167" s="48"/>
      <c r="R167" s="40"/>
      <c r="S167" s="40"/>
      <c r="T167" s="40"/>
      <c r="U167" s="40"/>
      <c r="V167" s="48"/>
      <c r="W167" s="48"/>
      <c r="X167" s="48"/>
      <c r="Y167" s="48"/>
      <c r="Z167" s="48"/>
      <c r="AA167" s="48"/>
      <c r="AB167" s="48"/>
      <c r="AC167" s="48"/>
      <c r="AD167" s="48"/>
      <c r="AE167" s="48">
        <v>500</v>
      </c>
      <c r="AF167" s="48"/>
      <c r="AG167" s="48"/>
      <c r="AH167" s="48"/>
      <c r="AI167" s="48"/>
    </row>
    <row r="168" spans="1:35" ht="13.5" customHeight="1" x14ac:dyDescent="0.25">
      <c r="A168" s="48">
        <v>25</v>
      </c>
      <c r="B168" s="176" t="s">
        <v>1104</v>
      </c>
      <c r="C168" s="176" t="s">
        <v>1100</v>
      </c>
      <c r="D168" s="150">
        <f t="shared" si="9"/>
        <v>500</v>
      </c>
      <c r="E168" s="48"/>
      <c r="F168" s="48"/>
      <c r="G168" s="35"/>
      <c r="H168" s="35"/>
      <c r="I168" s="35"/>
      <c r="J168" s="35"/>
      <c r="K168" s="35"/>
      <c r="L168" s="35"/>
      <c r="M168" s="48"/>
      <c r="N168" s="48"/>
      <c r="O168" s="48"/>
      <c r="P168" s="48"/>
      <c r="Q168" s="48"/>
      <c r="R168" s="40"/>
      <c r="S168" s="40"/>
      <c r="T168" s="40"/>
      <c r="U168" s="40"/>
      <c r="V168" s="48"/>
      <c r="W168" s="48"/>
      <c r="X168" s="48"/>
      <c r="Y168" s="48"/>
      <c r="Z168" s="48"/>
      <c r="AA168" s="48"/>
      <c r="AB168" s="48"/>
      <c r="AC168" s="48"/>
      <c r="AD168" s="48"/>
      <c r="AE168" s="48">
        <v>500</v>
      </c>
      <c r="AF168" s="48"/>
      <c r="AG168" s="48"/>
      <c r="AH168" s="48"/>
      <c r="AI168" s="48"/>
    </row>
    <row r="169" spans="1:35" ht="13.5" customHeight="1" x14ac:dyDescent="0.25">
      <c r="A169" s="48">
        <v>26</v>
      </c>
      <c r="B169" s="166" t="s">
        <v>677</v>
      </c>
      <c r="C169" s="166" t="s">
        <v>672</v>
      </c>
      <c r="D169" s="150">
        <f t="shared" si="9"/>
        <v>80</v>
      </c>
      <c r="E169" s="48"/>
      <c r="F169" s="48"/>
      <c r="G169" s="35"/>
      <c r="H169" s="35"/>
      <c r="I169" s="35"/>
      <c r="J169" s="35">
        <v>80</v>
      </c>
      <c r="K169" s="35"/>
      <c r="L169" s="35"/>
      <c r="M169" s="48"/>
      <c r="N169" s="48"/>
      <c r="O169" s="48"/>
      <c r="P169" s="48"/>
      <c r="Q169" s="48"/>
      <c r="R169" s="40"/>
      <c r="S169" s="40"/>
      <c r="T169" s="40"/>
      <c r="U169" s="40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</row>
    <row r="170" spans="1:35" ht="13.5" customHeight="1" x14ac:dyDescent="0.25">
      <c r="A170" s="48">
        <v>27</v>
      </c>
      <c r="B170" s="176" t="s">
        <v>1107</v>
      </c>
      <c r="C170" s="176" t="s">
        <v>1105</v>
      </c>
      <c r="D170" s="150">
        <f t="shared" si="9"/>
        <v>500</v>
      </c>
      <c r="E170" s="48"/>
      <c r="F170" s="48"/>
      <c r="G170" s="35"/>
      <c r="H170" s="35"/>
      <c r="I170" s="35"/>
      <c r="J170" s="35"/>
      <c r="K170" s="35"/>
      <c r="L170" s="35"/>
      <c r="M170" s="48"/>
      <c r="N170" s="48"/>
      <c r="O170" s="48"/>
      <c r="P170" s="48"/>
      <c r="Q170" s="48"/>
      <c r="R170" s="40"/>
      <c r="S170" s="40"/>
      <c r="T170" s="40"/>
      <c r="U170" s="40"/>
      <c r="V170" s="48"/>
      <c r="W170" s="48"/>
      <c r="X170" s="48"/>
      <c r="Y170" s="48"/>
      <c r="Z170" s="48"/>
      <c r="AA170" s="48"/>
      <c r="AB170" s="48"/>
      <c r="AC170" s="48"/>
      <c r="AD170" s="48"/>
      <c r="AE170" s="48">
        <v>500</v>
      </c>
      <c r="AF170" s="48"/>
      <c r="AG170" s="48"/>
      <c r="AH170" s="48"/>
      <c r="AI170" s="48"/>
    </row>
    <row r="171" spans="1:35" ht="13.5" customHeight="1" x14ac:dyDescent="0.25">
      <c r="A171" s="48">
        <v>28</v>
      </c>
      <c r="B171" s="176" t="s">
        <v>1108</v>
      </c>
      <c r="C171" s="176" t="s">
        <v>1106</v>
      </c>
      <c r="D171" s="150">
        <f t="shared" si="9"/>
        <v>500</v>
      </c>
      <c r="E171" s="48"/>
      <c r="F171" s="48"/>
      <c r="G171" s="35"/>
      <c r="H171" s="35"/>
      <c r="I171" s="35"/>
      <c r="J171" s="35"/>
      <c r="K171" s="35"/>
      <c r="L171" s="35"/>
      <c r="M171" s="48"/>
      <c r="N171" s="48"/>
      <c r="O171" s="48"/>
      <c r="P171" s="48"/>
      <c r="Q171" s="48"/>
      <c r="R171" s="40"/>
      <c r="S171" s="40"/>
      <c r="T171" s="40"/>
      <c r="U171" s="40"/>
      <c r="V171" s="48"/>
      <c r="W171" s="48"/>
      <c r="X171" s="48"/>
      <c r="Y171" s="48"/>
      <c r="Z171" s="48"/>
      <c r="AA171" s="48"/>
      <c r="AB171" s="48"/>
      <c r="AC171" s="48"/>
      <c r="AD171" s="48"/>
      <c r="AE171" s="48">
        <v>500</v>
      </c>
      <c r="AF171" s="48"/>
      <c r="AG171" s="48"/>
      <c r="AH171" s="48"/>
      <c r="AI171" s="48"/>
    </row>
    <row r="172" spans="1:35" ht="13.5" customHeight="1" x14ac:dyDescent="0.25">
      <c r="A172" s="48">
        <v>29</v>
      </c>
      <c r="B172" s="176" t="s">
        <v>1111</v>
      </c>
      <c r="C172" s="176" t="s">
        <v>1109</v>
      </c>
      <c r="D172" s="150">
        <f t="shared" si="9"/>
        <v>15000</v>
      </c>
      <c r="E172" s="48"/>
      <c r="F172" s="48"/>
      <c r="G172" s="35"/>
      <c r="H172" s="35"/>
      <c r="I172" s="35"/>
      <c r="J172" s="35"/>
      <c r="K172" s="35"/>
      <c r="L172" s="35"/>
      <c r="M172" s="48"/>
      <c r="N172" s="48"/>
      <c r="O172" s="48"/>
      <c r="P172" s="48"/>
      <c r="Q172" s="48"/>
      <c r="R172" s="40"/>
      <c r="S172" s="40"/>
      <c r="T172" s="40"/>
      <c r="U172" s="40"/>
      <c r="V172" s="48"/>
      <c r="W172" s="48"/>
      <c r="X172" s="48">
        <v>15000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</row>
    <row r="173" spans="1:35" ht="13.5" customHeight="1" x14ac:dyDescent="0.25">
      <c r="A173" s="48">
        <v>30</v>
      </c>
      <c r="B173" s="176" t="s">
        <v>1112</v>
      </c>
      <c r="C173" s="176" t="s">
        <v>1110</v>
      </c>
      <c r="D173" s="150">
        <f t="shared" si="9"/>
        <v>10000</v>
      </c>
      <c r="E173" s="48"/>
      <c r="F173" s="48"/>
      <c r="G173" s="35"/>
      <c r="H173" s="35"/>
      <c r="I173" s="35"/>
      <c r="J173" s="35"/>
      <c r="K173" s="35"/>
      <c r="L173" s="35"/>
      <c r="M173" s="48"/>
      <c r="N173" s="48"/>
      <c r="O173" s="48"/>
      <c r="P173" s="48"/>
      <c r="Q173" s="48"/>
      <c r="R173" s="40"/>
      <c r="S173" s="40"/>
      <c r="T173" s="40"/>
      <c r="U173" s="40"/>
      <c r="V173" s="48"/>
      <c r="W173" s="48"/>
      <c r="X173" s="48">
        <v>10000</v>
      </c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</row>
    <row r="174" spans="1:35" ht="13.5" customHeight="1" x14ac:dyDescent="0.25">
      <c r="A174" s="48">
        <v>31</v>
      </c>
      <c r="B174" s="176" t="s">
        <v>1114</v>
      </c>
      <c r="C174" s="176" t="s">
        <v>1113</v>
      </c>
      <c r="D174" s="150">
        <f t="shared" si="9"/>
        <v>500</v>
      </c>
      <c r="E174" s="48"/>
      <c r="F174" s="48"/>
      <c r="G174" s="35"/>
      <c r="H174" s="35"/>
      <c r="I174" s="35"/>
      <c r="J174" s="35"/>
      <c r="K174" s="35"/>
      <c r="L174" s="35"/>
      <c r="M174" s="48"/>
      <c r="N174" s="48"/>
      <c r="O174" s="48"/>
      <c r="P174" s="48"/>
      <c r="Q174" s="48"/>
      <c r="R174" s="40"/>
      <c r="S174" s="40"/>
      <c r="T174" s="40"/>
      <c r="U174" s="40"/>
      <c r="V174" s="48"/>
      <c r="W174" s="48"/>
      <c r="X174" s="48">
        <v>500</v>
      </c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</row>
    <row r="175" spans="1:35" ht="13.5" customHeight="1" x14ac:dyDescent="0.25">
      <c r="A175" s="48">
        <v>32</v>
      </c>
      <c r="B175" s="166" t="s">
        <v>678</v>
      </c>
      <c r="C175" s="166" t="s">
        <v>673</v>
      </c>
      <c r="D175" s="150">
        <f t="shared" si="9"/>
        <v>5000</v>
      </c>
      <c r="E175" s="48"/>
      <c r="F175" s="48"/>
      <c r="G175" s="35"/>
      <c r="H175" s="35"/>
      <c r="I175" s="35"/>
      <c r="J175" s="35"/>
      <c r="K175" s="35"/>
      <c r="L175" s="35"/>
      <c r="M175" s="48"/>
      <c r="N175" s="48"/>
      <c r="O175" s="48"/>
      <c r="P175" s="48">
        <v>5000</v>
      </c>
      <c r="Q175" s="48"/>
      <c r="R175" s="40"/>
      <c r="S175" s="40"/>
      <c r="T175" s="40"/>
      <c r="U175" s="40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</row>
    <row r="176" spans="1:35" ht="13.5" customHeight="1" x14ac:dyDescent="0.25">
      <c r="A176" s="48">
        <v>33</v>
      </c>
      <c r="B176" s="166" t="s">
        <v>679</v>
      </c>
      <c r="C176" s="166" t="s">
        <v>674</v>
      </c>
      <c r="D176" s="150">
        <f t="shared" si="9"/>
        <v>10000</v>
      </c>
      <c r="E176" s="48"/>
      <c r="F176" s="48"/>
      <c r="G176" s="35"/>
      <c r="H176" s="35"/>
      <c r="I176" s="35"/>
      <c r="J176" s="35"/>
      <c r="K176" s="35"/>
      <c r="L176" s="35"/>
      <c r="M176" s="48"/>
      <c r="N176" s="48"/>
      <c r="O176" s="48"/>
      <c r="P176" s="48">
        <v>10000</v>
      </c>
      <c r="Q176" s="48"/>
      <c r="R176" s="40"/>
      <c r="S176" s="40"/>
      <c r="T176" s="40"/>
      <c r="U176" s="40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</row>
    <row r="177" spans="1:35" ht="13.5" customHeight="1" x14ac:dyDescent="0.25">
      <c r="A177" s="48">
        <v>34</v>
      </c>
      <c r="B177" s="166" t="s">
        <v>215</v>
      </c>
      <c r="C177" s="166" t="s">
        <v>216</v>
      </c>
      <c r="D177" s="150">
        <f t="shared" ref="D177:D208" si="10">SUM(E177:AI177)</f>
        <v>2000</v>
      </c>
      <c r="E177" s="48"/>
      <c r="F177" s="48"/>
      <c r="G177" s="35">
        <v>2000</v>
      </c>
      <c r="H177" s="35"/>
      <c r="I177" s="35"/>
      <c r="J177" s="35"/>
      <c r="K177" s="35"/>
      <c r="L177" s="35"/>
      <c r="M177" s="48"/>
      <c r="N177" s="48"/>
      <c r="O177" s="48"/>
      <c r="P177" s="48"/>
      <c r="Q177" s="48"/>
      <c r="R177" s="40"/>
      <c r="S177" s="40"/>
      <c r="T177" s="40"/>
      <c r="U177" s="40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</row>
    <row r="178" spans="1:35" ht="13.5" customHeight="1" x14ac:dyDescent="0.25">
      <c r="A178" s="48">
        <v>35</v>
      </c>
      <c r="B178" s="166" t="s">
        <v>417</v>
      </c>
      <c r="C178" s="166" t="s">
        <v>415</v>
      </c>
      <c r="D178" s="150">
        <f t="shared" si="10"/>
        <v>500</v>
      </c>
      <c r="E178" s="48"/>
      <c r="F178" s="48"/>
      <c r="G178" s="35"/>
      <c r="H178" s="35"/>
      <c r="I178" s="35"/>
      <c r="J178" s="35"/>
      <c r="K178" s="35"/>
      <c r="L178" s="35"/>
      <c r="M178" s="48"/>
      <c r="N178" s="48"/>
      <c r="O178" s="48"/>
      <c r="P178" s="48"/>
      <c r="Q178" s="48"/>
      <c r="R178" s="40"/>
      <c r="S178" s="40"/>
      <c r="T178" s="40"/>
      <c r="U178" s="40"/>
      <c r="V178" s="48"/>
      <c r="W178" s="48"/>
      <c r="X178" s="48">
        <v>500</v>
      </c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</row>
    <row r="179" spans="1:35" ht="13.5" customHeight="1" x14ac:dyDescent="0.25">
      <c r="A179" s="48">
        <v>36</v>
      </c>
      <c r="B179" s="166" t="s">
        <v>418</v>
      </c>
      <c r="C179" s="166" t="s">
        <v>416</v>
      </c>
      <c r="D179" s="150">
        <f t="shared" si="10"/>
        <v>500</v>
      </c>
      <c r="E179" s="48"/>
      <c r="F179" s="48"/>
      <c r="G179" s="35"/>
      <c r="H179" s="35"/>
      <c r="I179" s="35"/>
      <c r="J179" s="35"/>
      <c r="K179" s="35"/>
      <c r="L179" s="35"/>
      <c r="M179" s="48"/>
      <c r="N179" s="48"/>
      <c r="O179" s="48"/>
      <c r="P179" s="48"/>
      <c r="Q179" s="48"/>
      <c r="R179" s="40"/>
      <c r="S179" s="40"/>
      <c r="T179" s="40"/>
      <c r="U179" s="40"/>
      <c r="V179" s="48"/>
      <c r="W179" s="48"/>
      <c r="X179" s="48">
        <v>500</v>
      </c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</row>
    <row r="180" spans="1:35" ht="13.5" customHeight="1" x14ac:dyDescent="0.25">
      <c r="A180" s="48">
        <v>37</v>
      </c>
      <c r="B180" s="166" t="s">
        <v>650</v>
      </c>
      <c r="C180" s="166" t="s">
        <v>649</v>
      </c>
      <c r="D180" s="150">
        <f t="shared" si="10"/>
        <v>500</v>
      </c>
      <c r="E180" s="48"/>
      <c r="F180" s="48"/>
      <c r="G180" s="35"/>
      <c r="H180" s="35"/>
      <c r="I180" s="35"/>
      <c r="J180" s="35"/>
      <c r="K180" s="35"/>
      <c r="L180" s="35"/>
      <c r="M180" s="48"/>
      <c r="N180" s="48"/>
      <c r="O180" s="48"/>
      <c r="P180" s="48"/>
      <c r="Q180" s="48"/>
      <c r="R180" s="40"/>
      <c r="S180" s="40"/>
      <c r="T180" s="40"/>
      <c r="U180" s="40"/>
      <c r="V180" s="48"/>
      <c r="W180" s="48"/>
      <c r="X180" s="48"/>
      <c r="Y180" s="48"/>
      <c r="Z180" s="48"/>
      <c r="AA180" s="48">
        <v>500</v>
      </c>
      <c r="AB180" s="48"/>
      <c r="AC180" s="48"/>
      <c r="AD180" s="48"/>
      <c r="AE180" s="48"/>
      <c r="AF180" s="48"/>
      <c r="AG180" s="48"/>
      <c r="AH180" s="48"/>
      <c r="AI180" s="48"/>
    </row>
    <row r="181" spans="1:35" ht="13.5" customHeight="1" x14ac:dyDescent="0.25">
      <c r="A181" s="48">
        <v>38</v>
      </c>
      <c r="B181" s="176" t="s">
        <v>1174</v>
      </c>
      <c r="C181" s="176" t="s">
        <v>1172</v>
      </c>
      <c r="D181" s="150">
        <f t="shared" si="10"/>
        <v>5000</v>
      </c>
      <c r="E181" s="48"/>
      <c r="F181" s="48"/>
      <c r="G181" s="35"/>
      <c r="H181" s="35"/>
      <c r="I181" s="35"/>
      <c r="J181" s="35"/>
      <c r="K181" s="35"/>
      <c r="L181" s="35"/>
      <c r="M181" s="48"/>
      <c r="N181" s="48"/>
      <c r="O181" s="48"/>
      <c r="P181" s="48"/>
      <c r="Q181" s="48"/>
      <c r="R181" s="40"/>
      <c r="S181" s="40"/>
      <c r="T181" s="40"/>
      <c r="U181" s="40"/>
      <c r="V181" s="48"/>
      <c r="W181" s="48"/>
      <c r="X181" s="48"/>
      <c r="Y181" s="48"/>
      <c r="Z181" s="48"/>
      <c r="AA181" s="48"/>
      <c r="AB181" s="48"/>
      <c r="AC181" s="48">
        <v>5000</v>
      </c>
      <c r="AD181" s="48"/>
      <c r="AE181" s="48"/>
      <c r="AF181" s="48"/>
      <c r="AG181" s="48"/>
      <c r="AH181" s="48"/>
      <c r="AI181" s="48"/>
    </row>
    <row r="182" spans="1:35" ht="13.5" customHeight="1" x14ac:dyDescent="0.25">
      <c r="A182" s="48">
        <v>39</v>
      </c>
      <c r="B182" s="176" t="s">
        <v>1143</v>
      </c>
      <c r="C182" s="176" t="s">
        <v>1173</v>
      </c>
      <c r="D182" s="150">
        <f t="shared" si="10"/>
        <v>500</v>
      </c>
      <c r="E182" s="48"/>
      <c r="F182" s="48"/>
      <c r="G182" s="35"/>
      <c r="H182" s="35"/>
      <c r="I182" s="35"/>
      <c r="J182" s="35"/>
      <c r="K182" s="35"/>
      <c r="L182" s="35"/>
      <c r="M182" s="48"/>
      <c r="N182" s="48"/>
      <c r="O182" s="48"/>
      <c r="P182" s="48"/>
      <c r="Q182" s="48"/>
      <c r="R182" s="40"/>
      <c r="S182" s="40"/>
      <c r="T182" s="40"/>
      <c r="U182" s="40"/>
      <c r="V182" s="48"/>
      <c r="W182" s="48"/>
      <c r="X182" s="48"/>
      <c r="Y182" s="48"/>
      <c r="Z182" s="48"/>
      <c r="AA182" s="48"/>
      <c r="AB182" s="48"/>
      <c r="AC182" s="48">
        <v>500</v>
      </c>
      <c r="AD182" s="48"/>
      <c r="AE182" s="48"/>
      <c r="AF182" s="48"/>
      <c r="AG182" s="48"/>
      <c r="AH182" s="48"/>
      <c r="AI182" s="48"/>
    </row>
    <row r="183" spans="1:35" ht="13.5" customHeight="1" x14ac:dyDescent="0.25">
      <c r="A183" s="48">
        <v>40</v>
      </c>
      <c r="B183" s="176" t="s">
        <v>1177</v>
      </c>
      <c r="C183" s="176" t="s">
        <v>1175</v>
      </c>
      <c r="D183" s="150">
        <f t="shared" si="10"/>
        <v>6640</v>
      </c>
      <c r="E183" s="48"/>
      <c r="F183" s="48"/>
      <c r="G183" s="35"/>
      <c r="H183" s="35"/>
      <c r="I183" s="35"/>
      <c r="J183" s="35"/>
      <c r="K183" s="35"/>
      <c r="L183" s="35"/>
      <c r="M183" s="48"/>
      <c r="N183" s="48"/>
      <c r="O183" s="48"/>
      <c r="P183" s="48"/>
      <c r="Q183" s="48"/>
      <c r="R183" s="40"/>
      <c r="S183" s="40"/>
      <c r="T183" s="40"/>
      <c r="U183" s="40"/>
      <c r="V183" s="48"/>
      <c r="W183" s="48"/>
      <c r="X183" s="48"/>
      <c r="Y183" s="48"/>
      <c r="Z183" s="48"/>
      <c r="AA183" s="48"/>
      <c r="AB183" s="48"/>
      <c r="AC183" s="48">
        <v>6640</v>
      </c>
      <c r="AD183" s="48"/>
      <c r="AE183" s="48"/>
      <c r="AF183" s="48"/>
      <c r="AG183" s="48"/>
      <c r="AH183" s="48"/>
      <c r="AI183" s="48"/>
    </row>
    <row r="184" spans="1:35" ht="13.5" customHeight="1" x14ac:dyDescent="0.25">
      <c r="A184" s="48">
        <v>41</v>
      </c>
      <c r="B184" s="176" t="s">
        <v>1178</v>
      </c>
      <c r="C184" s="176" t="s">
        <v>1176</v>
      </c>
      <c r="D184" s="150">
        <f t="shared" si="10"/>
        <v>5000</v>
      </c>
      <c r="E184" s="48"/>
      <c r="F184" s="48"/>
      <c r="G184" s="35"/>
      <c r="H184" s="35"/>
      <c r="I184" s="35"/>
      <c r="J184" s="35"/>
      <c r="K184" s="35"/>
      <c r="L184" s="35"/>
      <c r="M184" s="48"/>
      <c r="N184" s="48"/>
      <c r="O184" s="48"/>
      <c r="P184" s="48"/>
      <c r="Q184" s="48"/>
      <c r="R184" s="40"/>
      <c r="S184" s="40"/>
      <c r="T184" s="40"/>
      <c r="U184" s="40"/>
      <c r="V184" s="48"/>
      <c r="W184" s="48"/>
      <c r="X184" s="48"/>
      <c r="Y184" s="48"/>
      <c r="Z184" s="48"/>
      <c r="AA184" s="48"/>
      <c r="AB184" s="48"/>
      <c r="AC184" s="48">
        <v>5000</v>
      </c>
      <c r="AD184" s="48"/>
      <c r="AE184" s="48"/>
      <c r="AF184" s="48"/>
      <c r="AG184" s="48"/>
      <c r="AH184" s="48"/>
      <c r="AI184" s="48"/>
    </row>
    <row r="185" spans="1:35" ht="13.5" customHeight="1" x14ac:dyDescent="0.25">
      <c r="A185" s="48">
        <v>42</v>
      </c>
      <c r="B185" s="166" t="s">
        <v>766</v>
      </c>
      <c r="C185" s="166" t="s">
        <v>765</v>
      </c>
      <c r="D185" s="150">
        <f t="shared" si="10"/>
        <v>0</v>
      </c>
      <c r="E185" s="48"/>
      <c r="F185" s="48"/>
      <c r="G185" s="35"/>
      <c r="H185" s="35"/>
      <c r="I185" s="35"/>
      <c r="J185" s="35"/>
      <c r="K185" s="35"/>
      <c r="L185" s="35"/>
      <c r="M185" s="48"/>
      <c r="N185" s="48"/>
      <c r="O185" s="48"/>
      <c r="P185" s="48"/>
      <c r="Q185" s="48"/>
      <c r="R185" s="40"/>
      <c r="S185" s="40"/>
      <c r="T185" s="40"/>
      <c r="U185" s="40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</row>
    <row r="186" spans="1:35" ht="13.5" customHeight="1" x14ac:dyDescent="0.25">
      <c r="A186" s="48">
        <v>43</v>
      </c>
      <c r="B186" s="166" t="s">
        <v>305</v>
      </c>
      <c r="C186" s="166" t="s">
        <v>304</v>
      </c>
      <c r="D186" s="150">
        <f t="shared" si="10"/>
        <v>160</v>
      </c>
      <c r="E186" s="48"/>
      <c r="F186" s="48"/>
      <c r="G186" s="35">
        <v>160</v>
      </c>
      <c r="H186" s="35"/>
      <c r="I186" s="35"/>
      <c r="J186" s="35"/>
      <c r="K186" s="35"/>
      <c r="L186" s="35"/>
      <c r="M186" s="48"/>
      <c r="N186" s="48"/>
      <c r="O186" s="48"/>
      <c r="P186" s="48"/>
      <c r="Q186" s="48"/>
      <c r="R186" s="40"/>
      <c r="S186" s="40"/>
      <c r="T186" s="40"/>
      <c r="U186" s="40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</row>
    <row r="187" spans="1:35" ht="13.5" customHeight="1" x14ac:dyDescent="0.25">
      <c r="A187" s="48">
        <v>44</v>
      </c>
      <c r="B187" s="166" t="s">
        <v>306</v>
      </c>
      <c r="C187" s="166" t="s">
        <v>307</v>
      </c>
      <c r="D187" s="150">
        <f t="shared" si="10"/>
        <v>500</v>
      </c>
      <c r="E187" s="48"/>
      <c r="F187" s="48"/>
      <c r="G187" s="35">
        <v>500</v>
      </c>
      <c r="H187" s="35"/>
      <c r="I187" s="35"/>
      <c r="J187" s="35"/>
      <c r="K187" s="35"/>
      <c r="L187" s="35"/>
      <c r="M187" s="48"/>
      <c r="N187" s="48"/>
      <c r="O187" s="48"/>
      <c r="P187" s="48"/>
      <c r="Q187" s="48"/>
      <c r="R187" s="40"/>
      <c r="S187" s="40"/>
      <c r="T187" s="40"/>
      <c r="U187" s="40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</row>
    <row r="188" spans="1:35" ht="13.5" customHeight="1" x14ac:dyDescent="0.25">
      <c r="A188" s="48">
        <v>45</v>
      </c>
      <c r="B188" s="166" t="s">
        <v>449</v>
      </c>
      <c r="C188" s="166" t="s">
        <v>448</v>
      </c>
      <c r="D188" s="150">
        <f t="shared" si="10"/>
        <v>0</v>
      </c>
      <c r="E188" s="48"/>
      <c r="F188" s="48"/>
      <c r="G188" s="35"/>
      <c r="H188" s="35"/>
      <c r="I188" s="35"/>
      <c r="J188" s="35"/>
      <c r="K188" s="35"/>
      <c r="L188" s="35"/>
      <c r="M188" s="48"/>
      <c r="N188" s="48"/>
      <c r="O188" s="48"/>
      <c r="P188" s="48"/>
      <c r="Q188" s="48"/>
      <c r="R188" s="40"/>
      <c r="S188" s="40"/>
      <c r="T188" s="40"/>
      <c r="U188" s="40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</row>
    <row r="189" spans="1:35" ht="13.5" customHeight="1" x14ac:dyDescent="0.25">
      <c r="A189" s="48">
        <v>46</v>
      </c>
      <c r="B189" s="166" t="s">
        <v>662</v>
      </c>
      <c r="C189" s="166" t="s">
        <v>661</v>
      </c>
      <c r="D189" s="150">
        <f t="shared" si="10"/>
        <v>12700</v>
      </c>
      <c r="E189" s="48"/>
      <c r="F189" s="48"/>
      <c r="G189" s="35"/>
      <c r="H189" s="35"/>
      <c r="I189" s="35"/>
      <c r="J189" s="35"/>
      <c r="K189" s="35"/>
      <c r="L189" s="35"/>
      <c r="M189" s="48"/>
      <c r="N189" s="48"/>
      <c r="O189" s="48"/>
      <c r="P189" s="48"/>
      <c r="Q189" s="48"/>
      <c r="R189" s="40"/>
      <c r="S189" s="40"/>
      <c r="T189" s="40"/>
      <c r="U189" s="40"/>
      <c r="V189" s="48"/>
      <c r="W189" s="48">
        <v>6700</v>
      </c>
      <c r="X189" s="48"/>
      <c r="Y189" s="48"/>
      <c r="Z189" s="48"/>
      <c r="AA189" s="48"/>
      <c r="AB189" s="48"/>
      <c r="AC189" s="48">
        <v>6000</v>
      </c>
      <c r="AD189" s="48"/>
      <c r="AE189" s="48"/>
      <c r="AF189" s="48"/>
      <c r="AG189" s="48"/>
      <c r="AH189" s="48"/>
      <c r="AI189" s="48"/>
    </row>
    <row r="190" spans="1:35" ht="13.5" customHeight="1" x14ac:dyDescent="0.25">
      <c r="A190" s="48">
        <v>47</v>
      </c>
      <c r="B190" s="166" t="s">
        <v>220</v>
      </c>
      <c r="C190" s="166" t="s">
        <v>219</v>
      </c>
      <c r="D190" s="150">
        <f t="shared" si="10"/>
        <v>0</v>
      </c>
      <c r="E190" s="48"/>
      <c r="F190" s="48"/>
      <c r="G190" s="35"/>
      <c r="H190" s="35"/>
      <c r="I190" s="35"/>
      <c r="J190" s="35"/>
      <c r="K190" s="35"/>
      <c r="L190" s="35"/>
      <c r="M190" s="48"/>
      <c r="N190" s="48"/>
      <c r="O190" s="48"/>
      <c r="P190" s="48"/>
      <c r="Q190" s="48"/>
      <c r="R190" s="40"/>
      <c r="S190" s="40"/>
      <c r="T190" s="40"/>
      <c r="U190" s="40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</row>
    <row r="191" spans="1:35" ht="13.5" customHeight="1" x14ac:dyDescent="0.25">
      <c r="A191" s="48">
        <v>48</v>
      </c>
      <c r="B191" s="166" t="s">
        <v>152</v>
      </c>
      <c r="C191" s="166" t="s">
        <v>103</v>
      </c>
      <c r="D191" s="150">
        <f t="shared" si="10"/>
        <v>4200</v>
      </c>
      <c r="E191" s="48"/>
      <c r="F191" s="48"/>
      <c r="G191" s="35"/>
      <c r="H191" s="35"/>
      <c r="I191" s="35"/>
      <c r="J191" s="35"/>
      <c r="K191" s="35"/>
      <c r="L191" s="35">
        <v>4200</v>
      </c>
      <c r="M191" s="48"/>
      <c r="N191" s="48"/>
      <c r="O191" s="48"/>
      <c r="P191" s="48"/>
      <c r="Q191" s="48"/>
      <c r="R191" s="40"/>
      <c r="S191" s="40"/>
      <c r="T191" s="40"/>
      <c r="U191" s="40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</row>
    <row r="192" spans="1:35" ht="13.5" customHeight="1" x14ac:dyDescent="0.25">
      <c r="A192" s="48">
        <v>49</v>
      </c>
      <c r="B192" s="166" t="s">
        <v>898</v>
      </c>
      <c r="C192" s="166" t="s">
        <v>896</v>
      </c>
      <c r="D192" s="150">
        <f t="shared" si="10"/>
        <v>0</v>
      </c>
      <c r="E192" s="137"/>
      <c r="F192" s="48"/>
      <c r="G192" s="137"/>
      <c r="H192" s="35"/>
      <c r="I192" s="35"/>
      <c r="J192" s="137"/>
      <c r="K192" s="166"/>
      <c r="L192" s="137"/>
      <c r="M192" s="48"/>
      <c r="N192" s="48"/>
      <c r="O192" s="137"/>
      <c r="P192" s="137"/>
      <c r="Q192" s="48"/>
      <c r="R192" s="40"/>
      <c r="S192" s="40"/>
      <c r="T192" s="40"/>
      <c r="U192" s="137"/>
      <c r="V192" s="48"/>
      <c r="W192" s="137"/>
      <c r="X192" s="48"/>
      <c r="Y192" s="137"/>
      <c r="Z192" s="137"/>
      <c r="AA192" s="48"/>
      <c r="AB192" s="137"/>
      <c r="AC192" s="137"/>
      <c r="AD192" s="137"/>
      <c r="AE192" s="137"/>
      <c r="AF192" s="137"/>
      <c r="AG192" s="48"/>
      <c r="AH192" s="48"/>
      <c r="AI192" s="137"/>
    </row>
    <row r="193" spans="1:35" ht="13.5" customHeight="1" x14ac:dyDescent="0.25">
      <c r="A193" s="48">
        <v>50</v>
      </c>
      <c r="B193" s="166" t="s">
        <v>899</v>
      </c>
      <c r="C193" s="166" t="s">
        <v>897</v>
      </c>
      <c r="D193" s="150">
        <f t="shared" si="10"/>
        <v>2320</v>
      </c>
      <c r="E193" s="48"/>
      <c r="F193" s="48"/>
      <c r="G193" s="35"/>
      <c r="H193" s="35"/>
      <c r="I193" s="35"/>
      <c r="J193" s="35">
        <v>320</v>
      </c>
      <c r="K193" s="35"/>
      <c r="L193" s="35"/>
      <c r="M193" s="48"/>
      <c r="N193" s="48"/>
      <c r="O193" s="48"/>
      <c r="P193" s="48"/>
      <c r="Q193" s="48"/>
      <c r="R193" s="40"/>
      <c r="S193" s="40"/>
      <c r="T193" s="40"/>
      <c r="U193" s="40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>
        <v>2000</v>
      </c>
      <c r="AG193" s="48"/>
      <c r="AH193" s="48"/>
      <c r="AI193" s="48"/>
    </row>
    <row r="194" spans="1:35" ht="13.5" customHeight="1" x14ac:dyDescent="0.25">
      <c r="A194" s="48">
        <v>51</v>
      </c>
      <c r="B194" s="166" t="s">
        <v>798</v>
      </c>
      <c r="C194" s="166" t="s">
        <v>797</v>
      </c>
      <c r="D194" s="150">
        <f t="shared" si="10"/>
        <v>880</v>
      </c>
      <c r="E194" s="48"/>
      <c r="F194" s="48"/>
      <c r="G194" s="35">
        <v>880</v>
      </c>
      <c r="H194" s="35"/>
      <c r="I194" s="35"/>
      <c r="J194" s="35"/>
      <c r="K194" s="35"/>
      <c r="L194" s="35"/>
      <c r="M194" s="48"/>
      <c r="N194" s="48"/>
      <c r="O194" s="48"/>
      <c r="P194" s="48"/>
      <c r="Q194" s="48"/>
      <c r="R194" s="40"/>
      <c r="S194" s="40"/>
      <c r="T194" s="40"/>
      <c r="U194" s="40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</row>
    <row r="195" spans="1:35" ht="13.5" customHeight="1" x14ac:dyDescent="0.25">
      <c r="A195" s="48">
        <v>52</v>
      </c>
      <c r="B195" s="166" t="s">
        <v>800</v>
      </c>
      <c r="C195" s="166" t="s">
        <v>799</v>
      </c>
      <c r="D195" s="150">
        <f t="shared" si="10"/>
        <v>26600</v>
      </c>
      <c r="E195" s="48">
        <v>15000</v>
      </c>
      <c r="F195" s="48"/>
      <c r="G195" s="35"/>
      <c r="H195" s="35"/>
      <c r="I195" s="35">
        <v>11600</v>
      </c>
      <c r="J195" s="35"/>
      <c r="K195" s="35"/>
      <c r="L195" s="35"/>
      <c r="M195" s="48"/>
      <c r="N195" s="48"/>
      <c r="O195" s="48"/>
      <c r="P195" s="48"/>
      <c r="Q195" s="48"/>
      <c r="R195" s="40"/>
      <c r="S195" s="40"/>
      <c r="T195" s="40"/>
      <c r="U195" s="40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</row>
    <row r="196" spans="1:35" ht="13.5" customHeight="1" x14ac:dyDescent="0.25">
      <c r="A196" s="48">
        <v>53</v>
      </c>
      <c r="B196" s="166" t="s">
        <v>592</v>
      </c>
      <c r="C196" s="166" t="s">
        <v>585</v>
      </c>
      <c r="D196" s="150">
        <f t="shared" si="10"/>
        <v>0</v>
      </c>
      <c r="E196" s="48"/>
      <c r="F196" s="48"/>
      <c r="G196" s="35"/>
      <c r="H196" s="35"/>
      <c r="I196" s="35"/>
      <c r="J196" s="35"/>
      <c r="K196" s="35"/>
      <c r="L196" s="35"/>
      <c r="M196" s="48"/>
      <c r="N196" s="48"/>
      <c r="O196" s="48"/>
      <c r="P196" s="48"/>
      <c r="Q196" s="48"/>
      <c r="R196" s="40"/>
      <c r="S196" s="40"/>
      <c r="T196" s="40"/>
      <c r="U196" s="40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</row>
    <row r="197" spans="1:35" ht="13.5" customHeight="1" x14ac:dyDescent="0.25">
      <c r="A197" s="48">
        <v>54</v>
      </c>
      <c r="B197" s="166" t="s">
        <v>593</v>
      </c>
      <c r="C197" s="166" t="s">
        <v>586</v>
      </c>
      <c r="D197" s="150">
        <f t="shared" si="10"/>
        <v>0</v>
      </c>
      <c r="E197" s="48"/>
      <c r="F197" s="48"/>
      <c r="G197" s="35"/>
      <c r="H197" s="35"/>
      <c r="I197" s="35"/>
      <c r="J197" s="35"/>
      <c r="K197" s="35"/>
      <c r="L197" s="35"/>
      <c r="M197" s="48"/>
      <c r="N197" s="48"/>
      <c r="O197" s="48"/>
      <c r="P197" s="48"/>
      <c r="Q197" s="48"/>
      <c r="R197" s="40"/>
      <c r="S197" s="40"/>
      <c r="T197" s="40"/>
      <c r="U197" s="40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</row>
    <row r="198" spans="1:35" ht="13.5" customHeight="1" x14ac:dyDescent="0.25">
      <c r="A198" s="48">
        <v>55</v>
      </c>
      <c r="B198" s="166" t="s">
        <v>594</v>
      </c>
      <c r="C198" s="166" t="s">
        <v>587</v>
      </c>
      <c r="D198" s="150">
        <f t="shared" si="10"/>
        <v>1700</v>
      </c>
      <c r="E198" s="48"/>
      <c r="F198" s="48"/>
      <c r="G198" s="35"/>
      <c r="H198" s="35"/>
      <c r="I198" s="35"/>
      <c r="J198" s="35">
        <v>1300</v>
      </c>
      <c r="K198" s="35"/>
      <c r="L198" s="35"/>
      <c r="M198" s="48"/>
      <c r="N198" s="48"/>
      <c r="O198" s="48"/>
      <c r="P198" s="48"/>
      <c r="Q198" s="48"/>
      <c r="R198" s="40"/>
      <c r="S198" s="40"/>
      <c r="T198" s="40"/>
      <c r="U198" s="40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>
        <v>400</v>
      </c>
      <c r="AH198" s="48"/>
      <c r="AI198" s="48"/>
    </row>
    <row r="199" spans="1:35" ht="13.5" customHeight="1" x14ac:dyDescent="0.25">
      <c r="A199" s="48">
        <v>56</v>
      </c>
      <c r="B199" s="166" t="s">
        <v>595</v>
      </c>
      <c r="C199" s="166" t="s">
        <v>588</v>
      </c>
      <c r="D199" s="150">
        <f t="shared" si="10"/>
        <v>590</v>
      </c>
      <c r="E199" s="48"/>
      <c r="F199" s="48"/>
      <c r="G199" s="35"/>
      <c r="H199" s="35"/>
      <c r="I199" s="35"/>
      <c r="J199" s="35">
        <v>590</v>
      </c>
      <c r="K199" s="35"/>
      <c r="L199" s="35"/>
      <c r="M199" s="48"/>
      <c r="N199" s="48"/>
      <c r="O199" s="48"/>
      <c r="P199" s="48"/>
      <c r="Q199" s="48"/>
      <c r="R199" s="40"/>
      <c r="S199" s="40"/>
      <c r="T199" s="40"/>
      <c r="U199" s="40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</row>
    <row r="200" spans="1:35" ht="13.5" customHeight="1" x14ac:dyDescent="0.25">
      <c r="A200" s="48">
        <v>57</v>
      </c>
      <c r="B200" s="166" t="s">
        <v>596</v>
      </c>
      <c r="C200" s="166" t="s">
        <v>589</v>
      </c>
      <c r="D200" s="150">
        <f t="shared" si="10"/>
        <v>260</v>
      </c>
      <c r="E200" s="48"/>
      <c r="F200" s="48"/>
      <c r="G200" s="35"/>
      <c r="H200" s="35"/>
      <c r="I200" s="35"/>
      <c r="J200" s="35">
        <v>260</v>
      </c>
      <c r="K200" s="35"/>
      <c r="L200" s="35"/>
      <c r="M200" s="48"/>
      <c r="N200" s="48"/>
      <c r="O200" s="48"/>
      <c r="P200" s="48"/>
      <c r="Q200" s="48"/>
      <c r="R200" s="40"/>
      <c r="S200" s="40"/>
      <c r="T200" s="40"/>
      <c r="U200" s="40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</row>
    <row r="201" spans="1:35" ht="13.5" customHeight="1" x14ac:dyDescent="0.25">
      <c r="A201" s="48">
        <v>58</v>
      </c>
      <c r="B201" s="166" t="s">
        <v>597</v>
      </c>
      <c r="C201" s="166" t="s">
        <v>590</v>
      </c>
      <c r="D201" s="150">
        <f t="shared" si="10"/>
        <v>180</v>
      </c>
      <c r="E201" s="48"/>
      <c r="F201" s="48"/>
      <c r="G201" s="35"/>
      <c r="H201" s="35"/>
      <c r="I201" s="35"/>
      <c r="J201" s="35">
        <v>180</v>
      </c>
      <c r="K201" s="35"/>
      <c r="L201" s="35"/>
      <c r="M201" s="48"/>
      <c r="N201" s="48"/>
      <c r="O201" s="48"/>
      <c r="P201" s="48"/>
      <c r="Q201" s="48"/>
      <c r="R201" s="40"/>
      <c r="S201" s="40"/>
      <c r="T201" s="40"/>
      <c r="U201" s="40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</row>
    <row r="202" spans="1:35" ht="13.5" customHeight="1" x14ac:dyDescent="0.25">
      <c r="A202" s="48">
        <v>59</v>
      </c>
      <c r="B202" s="166" t="s">
        <v>598</v>
      </c>
      <c r="C202" s="166" t="s">
        <v>591</v>
      </c>
      <c r="D202" s="150">
        <f t="shared" si="10"/>
        <v>0</v>
      </c>
      <c r="E202" s="48"/>
      <c r="F202" s="48"/>
      <c r="G202" s="35"/>
      <c r="H202" s="35"/>
      <c r="I202" s="35"/>
      <c r="J202" s="35"/>
      <c r="K202" s="35"/>
      <c r="L202" s="35"/>
      <c r="M202" s="48"/>
      <c r="N202" s="48"/>
      <c r="O202" s="48"/>
      <c r="P202" s="48"/>
      <c r="Q202" s="48"/>
      <c r="R202" s="40"/>
      <c r="S202" s="40"/>
      <c r="T202" s="40"/>
      <c r="U202" s="40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</row>
    <row r="203" spans="1:35" ht="13.5" customHeight="1" x14ac:dyDescent="0.25">
      <c r="A203" s="48">
        <v>60</v>
      </c>
      <c r="B203" s="166" t="s">
        <v>445</v>
      </c>
      <c r="C203" s="166" t="s">
        <v>444</v>
      </c>
      <c r="D203" s="150">
        <f t="shared" si="10"/>
        <v>0</v>
      </c>
      <c r="E203" s="48"/>
      <c r="F203" s="48"/>
      <c r="G203" s="35"/>
      <c r="H203" s="35"/>
      <c r="I203" s="35"/>
      <c r="J203" s="35"/>
      <c r="K203" s="35"/>
      <c r="L203" s="35"/>
      <c r="M203" s="48"/>
      <c r="N203" s="48"/>
      <c r="O203" s="48"/>
      <c r="P203" s="48"/>
      <c r="Q203" s="48"/>
      <c r="R203" s="40"/>
      <c r="S203" s="40"/>
      <c r="T203" s="40"/>
      <c r="U203" s="40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</row>
    <row r="204" spans="1:35" ht="13.5" customHeight="1" x14ac:dyDescent="0.25">
      <c r="A204" s="48">
        <v>61</v>
      </c>
      <c r="B204" s="166" t="s">
        <v>605</v>
      </c>
      <c r="C204" s="166" t="s">
        <v>599</v>
      </c>
      <c r="D204" s="150">
        <f t="shared" si="10"/>
        <v>0</v>
      </c>
      <c r="E204" s="48"/>
      <c r="F204" s="48"/>
      <c r="G204" s="35"/>
      <c r="H204" s="35"/>
      <c r="I204" s="35"/>
      <c r="J204" s="35"/>
      <c r="K204" s="35"/>
      <c r="L204" s="35"/>
      <c r="M204" s="48"/>
      <c r="N204" s="48"/>
      <c r="O204" s="48"/>
      <c r="P204" s="48"/>
      <c r="Q204" s="48"/>
      <c r="R204" s="40"/>
      <c r="S204" s="40"/>
      <c r="T204" s="40"/>
      <c r="U204" s="40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</row>
    <row r="205" spans="1:35" ht="13.5" customHeight="1" x14ac:dyDescent="0.25">
      <c r="A205" s="48">
        <v>62</v>
      </c>
      <c r="B205" s="166" t="s">
        <v>606</v>
      </c>
      <c r="C205" s="166" t="s">
        <v>600</v>
      </c>
      <c r="D205" s="150">
        <f t="shared" si="10"/>
        <v>0</v>
      </c>
      <c r="E205" s="48"/>
      <c r="F205" s="48"/>
      <c r="G205" s="35"/>
      <c r="H205" s="35"/>
      <c r="I205" s="35"/>
      <c r="J205" s="35"/>
      <c r="K205" s="35"/>
      <c r="L205" s="35"/>
      <c r="M205" s="48"/>
      <c r="N205" s="48"/>
      <c r="O205" s="48"/>
      <c r="P205" s="48"/>
      <c r="Q205" s="48"/>
      <c r="R205" s="40"/>
      <c r="S205" s="40"/>
      <c r="T205" s="40"/>
      <c r="U205" s="40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</row>
    <row r="206" spans="1:35" ht="13.5" customHeight="1" x14ac:dyDescent="0.25">
      <c r="A206" s="48">
        <v>63</v>
      </c>
      <c r="B206" s="166" t="s">
        <v>607</v>
      </c>
      <c r="C206" s="166" t="s">
        <v>601</v>
      </c>
      <c r="D206" s="150">
        <f t="shared" si="10"/>
        <v>720</v>
      </c>
      <c r="E206" s="48"/>
      <c r="F206" s="48"/>
      <c r="G206" s="35"/>
      <c r="H206" s="35"/>
      <c r="I206" s="35"/>
      <c r="J206" s="35">
        <v>720</v>
      </c>
      <c r="K206" s="35"/>
      <c r="L206" s="35"/>
      <c r="M206" s="48"/>
      <c r="N206" s="48"/>
      <c r="O206" s="48"/>
      <c r="P206" s="48"/>
      <c r="Q206" s="48"/>
      <c r="R206" s="40"/>
      <c r="S206" s="40"/>
      <c r="T206" s="40"/>
      <c r="U206" s="40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</row>
    <row r="207" spans="1:35" ht="13.5" customHeight="1" x14ac:dyDescent="0.25">
      <c r="A207" s="48">
        <v>64</v>
      </c>
      <c r="B207" s="166" t="s">
        <v>608</v>
      </c>
      <c r="C207" s="166" t="s">
        <v>602</v>
      </c>
      <c r="D207" s="150">
        <f t="shared" si="10"/>
        <v>0</v>
      </c>
      <c r="E207" s="48"/>
      <c r="F207" s="48"/>
      <c r="G207" s="35"/>
      <c r="H207" s="35"/>
      <c r="I207" s="35"/>
      <c r="J207" s="35"/>
      <c r="K207" s="35"/>
      <c r="L207" s="35"/>
      <c r="M207" s="48"/>
      <c r="N207" s="48"/>
      <c r="O207" s="48"/>
      <c r="P207" s="48"/>
      <c r="Q207" s="48"/>
      <c r="R207" s="40"/>
      <c r="S207" s="40"/>
      <c r="T207" s="40"/>
      <c r="U207" s="40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</row>
    <row r="208" spans="1:35" ht="13.5" customHeight="1" x14ac:dyDescent="0.25">
      <c r="A208" s="48">
        <v>65</v>
      </c>
      <c r="B208" s="166" t="s">
        <v>609</v>
      </c>
      <c r="C208" s="166" t="s">
        <v>603</v>
      </c>
      <c r="D208" s="150">
        <f t="shared" si="10"/>
        <v>9600</v>
      </c>
      <c r="E208" s="48"/>
      <c r="F208" s="48"/>
      <c r="G208" s="35"/>
      <c r="H208" s="35"/>
      <c r="I208" s="35"/>
      <c r="J208" s="35"/>
      <c r="K208" s="35"/>
      <c r="L208" s="35"/>
      <c r="M208" s="48"/>
      <c r="N208" s="48"/>
      <c r="O208" s="48"/>
      <c r="P208" s="48"/>
      <c r="Q208" s="48"/>
      <c r="R208" s="40"/>
      <c r="S208" s="40"/>
      <c r="T208" s="40"/>
      <c r="U208" s="40"/>
      <c r="V208" s="48"/>
      <c r="W208" s="48"/>
      <c r="X208" s="48"/>
      <c r="Y208" s="48"/>
      <c r="Z208" s="48">
        <v>3600</v>
      </c>
      <c r="AA208" s="48"/>
      <c r="AB208" s="48"/>
      <c r="AC208" s="48"/>
      <c r="AD208" s="48">
        <v>6000</v>
      </c>
      <c r="AE208" s="48"/>
      <c r="AF208" s="48"/>
      <c r="AG208" s="48"/>
      <c r="AH208" s="48"/>
      <c r="AI208" s="48"/>
    </row>
    <row r="209" spans="1:35" ht="13.5" customHeight="1" x14ac:dyDescent="0.25">
      <c r="A209" s="48">
        <v>66</v>
      </c>
      <c r="B209" s="166" t="s">
        <v>610</v>
      </c>
      <c r="C209" s="166" t="s">
        <v>604</v>
      </c>
      <c r="D209" s="150">
        <f t="shared" ref="D209:D240" si="11">SUM(E209:AI209)</f>
        <v>680</v>
      </c>
      <c r="E209" s="48"/>
      <c r="F209" s="48"/>
      <c r="G209" s="35"/>
      <c r="H209" s="35"/>
      <c r="I209" s="35"/>
      <c r="J209" s="35">
        <v>680</v>
      </c>
      <c r="K209" s="35"/>
      <c r="L209" s="35"/>
      <c r="M209" s="48"/>
      <c r="N209" s="48"/>
      <c r="O209" s="48"/>
      <c r="P209" s="48"/>
      <c r="Q209" s="48"/>
      <c r="R209" s="40"/>
      <c r="S209" s="40"/>
      <c r="T209" s="40"/>
      <c r="U209" s="40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</row>
    <row r="210" spans="1:35" ht="13.5" customHeight="1" x14ac:dyDescent="0.25">
      <c r="A210" s="48">
        <v>67</v>
      </c>
      <c r="B210" s="166" t="s">
        <v>300</v>
      </c>
      <c r="C210" s="166" t="s">
        <v>299</v>
      </c>
      <c r="D210" s="150">
        <f t="shared" si="11"/>
        <v>500</v>
      </c>
      <c r="E210" s="48"/>
      <c r="F210" s="48"/>
      <c r="G210" s="35"/>
      <c r="H210" s="35"/>
      <c r="I210" s="35"/>
      <c r="J210" s="35"/>
      <c r="K210" s="35"/>
      <c r="L210" s="35"/>
      <c r="M210" s="48"/>
      <c r="N210" s="48"/>
      <c r="O210" s="48"/>
      <c r="P210" s="48"/>
      <c r="Q210" s="48"/>
      <c r="R210" s="40"/>
      <c r="S210" s="40"/>
      <c r="T210" s="40"/>
      <c r="U210" s="40"/>
      <c r="V210" s="48"/>
      <c r="W210" s="48"/>
      <c r="X210" s="48">
        <v>500</v>
      </c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</row>
    <row r="211" spans="1:35" ht="13.5" customHeight="1" x14ac:dyDescent="0.25">
      <c r="A211" s="48">
        <v>68</v>
      </c>
      <c r="B211" s="176" t="s">
        <v>944</v>
      </c>
      <c r="C211" s="176" t="s">
        <v>934</v>
      </c>
      <c r="D211" s="150">
        <f t="shared" si="11"/>
        <v>4852</v>
      </c>
      <c r="E211" s="137"/>
      <c r="F211" s="48"/>
      <c r="G211" s="137"/>
      <c r="H211" s="137"/>
      <c r="I211" s="35"/>
      <c r="J211" s="137"/>
      <c r="K211" s="137"/>
      <c r="L211" s="137"/>
      <c r="M211" s="48"/>
      <c r="N211" s="48"/>
      <c r="O211" s="137"/>
      <c r="P211" s="137"/>
      <c r="Q211" s="48"/>
      <c r="R211" s="40"/>
      <c r="S211" s="40"/>
      <c r="T211" s="40"/>
      <c r="U211" s="137"/>
      <c r="V211" s="48"/>
      <c r="W211" s="137"/>
      <c r="X211" s="137"/>
      <c r="Y211" s="137"/>
      <c r="Z211" s="48"/>
      <c r="AA211" s="48"/>
      <c r="AB211" s="137"/>
      <c r="AC211" s="48">
        <v>500</v>
      </c>
      <c r="AD211" s="137"/>
      <c r="AE211" s="155"/>
      <c r="AF211" s="48">
        <v>4352</v>
      </c>
      <c r="AG211" s="48"/>
      <c r="AH211" s="48"/>
      <c r="AI211" s="137"/>
    </row>
    <row r="212" spans="1:35" ht="13.5" customHeight="1" x14ac:dyDescent="0.25">
      <c r="A212" s="48">
        <v>69</v>
      </c>
      <c r="B212" s="176" t="s">
        <v>945</v>
      </c>
      <c r="C212" s="176" t="s">
        <v>935</v>
      </c>
      <c r="D212" s="150">
        <f t="shared" si="11"/>
        <v>4790</v>
      </c>
      <c r="E212" s="48"/>
      <c r="F212" s="48"/>
      <c r="G212" s="35"/>
      <c r="H212" s="35"/>
      <c r="I212" s="35"/>
      <c r="J212" s="35"/>
      <c r="K212" s="35"/>
      <c r="L212" s="35"/>
      <c r="M212" s="48"/>
      <c r="N212" s="48"/>
      <c r="O212" s="48"/>
      <c r="P212" s="48"/>
      <c r="Q212" s="48"/>
      <c r="R212" s="40"/>
      <c r="S212" s="40"/>
      <c r="T212" s="40"/>
      <c r="U212" s="40"/>
      <c r="V212" s="48"/>
      <c r="W212" s="48"/>
      <c r="X212" s="48"/>
      <c r="Y212" s="48"/>
      <c r="Z212" s="48"/>
      <c r="AA212" s="48"/>
      <c r="AB212" s="48"/>
      <c r="AC212" s="48">
        <v>500</v>
      </c>
      <c r="AD212" s="48"/>
      <c r="AE212" s="155"/>
      <c r="AF212" s="48">
        <v>4290</v>
      </c>
      <c r="AG212" s="48"/>
      <c r="AH212" s="48"/>
      <c r="AI212" s="48"/>
    </row>
    <row r="213" spans="1:35" ht="13.5" customHeight="1" x14ac:dyDescent="0.25">
      <c r="A213" s="48">
        <v>70</v>
      </c>
      <c r="B213" s="176" t="s">
        <v>946</v>
      </c>
      <c r="C213" s="176" t="s">
        <v>936</v>
      </c>
      <c r="D213" s="150">
        <f t="shared" si="11"/>
        <v>0</v>
      </c>
      <c r="E213" s="48"/>
      <c r="F213" s="48"/>
      <c r="G213" s="35"/>
      <c r="H213" s="35"/>
      <c r="I213" s="35"/>
      <c r="J213" s="35"/>
      <c r="K213" s="35"/>
      <c r="L213" s="35"/>
      <c r="M213" s="48"/>
      <c r="N213" s="48"/>
      <c r="O213" s="48"/>
      <c r="P213" s="48"/>
      <c r="Q213" s="48"/>
      <c r="R213" s="40"/>
      <c r="S213" s="40"/>
      <c r="T213" s="40"/>
      <c r="U213" s="40"/>
      <c r="V213" s="48"/>
      <c r="W213" s="48"/>
      <c r="X213" s="48"/>
      <c r="Y213" s="48"/>
      <c r="Z213" s="48"/>
      <c r="AA213" s="48"/>
      <c r="AB213" s="48"/>
      <c r="AC213" s="48"/>
      <c r="AD213" s="48"/>
      <c r="AE213" s="155"/>
      <c r="AF213" s="48"/>
      <c r="AG213" s="48"/>
      <c r="AH213" s="48"/>
      <c r="AI213" s="48"/>
    </row>
    <row r="214" spans="1:35" ht="13.5" customHeight="1" x14ac:dyDescent="0.25">
      <c r="A214" s="48">
        <v>71</v>
      </c>
      <c r="B214" s="176" t="s">
        <v>947</v>
      </c>
      <c r="C214" s="176" t="s">
        <v>937</v>
      </c>
      <c r="D214" s="150">
        <f t="shared" si="11"/>
        <v>50</v>
      </c>
      <c r="E214" s="48"/>
      <c r="F214" s="48"/>
      <c r="G214" s="35"/>
      <c r="H214" s="35"/>
      <c r="I214" s="35"/>
      <c r="J214" s="35"/>
      <c r="K214" s="35">
        <v>50</v>
      </c>
      <c r="L214" s="35"/>
      <c r="M214" s="48"/>
      <c r="N214" s="48"/>
      <c r="O214" s="48"/>
      <c r="P214" s="48"/>
      <c r="Q214" s="48"/>
      <c r="R214" s="40"/>
      <c r="S214" s="40"/>
      <c r="T214" s="40"/>
      <c r="U214" s="40"/>
      <c r="V214" s="48"/>
      <c r="W214" s="48"/>
      <c r="X214" s="48"/>
      <c r="Y214" s="48"/>
      <c r="Z214" s="48"/>
      <c r="AA214" s="48"/>
      <c r="AB214" s="48"/>
      <c r="AC214" s="48"/>
      <c r="AD214" s="48"/>
      <c r="AE214" s="155"/>
      <c r="AF214" s="48"/>
      <c r="AG214" s="48"/>
      <c r="AH214" s="48"/>
      <c r="AI214" s="48"/>
    </row>
    <row r="215" spans="1:35" ht="13.5" customHeight="1" x14ac:dyDescent="0.25">
      <c r="A215" s="48">
        <v>72</v>
      </c>
      <c r="B215" s="176" t="s">
        <v>948</v>
      </c>
      <c r="C215" s="176" t="s">
        <v>938</v>
      </c>
      <c r="D215" s="150">
        <f t="shared" si="11"/>
        <v>50</v>
      </c>
      <c r="E215" s="48"/>
      <c r="F215" s="48"/>
      <c r="G215" s="35"/>
      <c r="H215" s="35"/>
      <c r="I215" s="35"/>
      <c r="J215" s="35"/>
      <c r="K215" s="35">
        <v>50</v>
      </c>
      <c r="L215" s="35"/>
      <c r="M215" s="48"/>
      <c r="N215" s="48"/>
      <c r="O215" s="48"/>
      <c r="P215" s="48"/>
      <c r="Q215" s="48"/>
      <c r="R215" s="40"/>
      <c r="S215" s="40"/>
      <c r="T215" s="40"/>
      <c r="U215" s="40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</row>
    <row r="216" spans="1:35" ht="13.5" customHeight="1" x14ac:dyDescent="0.25">
      <c r="A216" s="48">
        <v>73</v>
      </c>
      <c r="B216" s="176" t="s">
        <v>949</v>
      </c>
      <c r="C216" s="176" t="s">
        <v>939</v>
      </c>
      <c r="D216" s="150">
        <f t="shared" si="11"/>
        <v>50</v>
      </c>
      <c r="E216" s="48"/>
      <c r="F216" s="48"/>
      <c r="G216" s="35"/>
      <c r="H216" s="35"/>
      <c r="I216" s="35"/>
      <c r="J216" s="35"/>
      <c r="K216" s="35">
        <v>50</v>
      </c>
      <c r="L216" s="35"/>
      <c r="M216" s="48"/>
      <c r="N216" s="48"/>
      <c r="O216" s="48"/>
      <c r="P216" s="48"/>
      <c r="Q216" s="48"/>
      <c r="R216" s="40"/>
      <c r="S216" s="40"/>
      <c r="T216" s="40"/>
      <c r="U216" s="40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</row>
    <row r="217" spans="1:35" ht="13.5" customHeight="1" x14ac:dyDescent="0.25">
      <c r="A217" s="48">
        <v>74</v>
      </c>
      <c r="B217" s="176" t="s">
        <v>950</v>
      </c>
      <c r="C217" s="176" t="s">
        <v>940</v>
      </c>
      <c r="D217" s="150">
        <f t="shared" si="11"/>
        <v>0</v>
      </c>
      <c r="E217" s="48"/>
      <c r="F217" s="48"/>
      <c r="G217" s="35"/>
      <c r="H217" s="35"/>
      <c r="I217" s="35"/>
      <c r="J217" s="35"/>
      <c r="K217" s="35"/>
      <c r="L217" s="35"/>
      <c r="M217" s="48"/>
      <c r="N217" s="48"/>
      <c r="O217" s="48"/>
      <c r="P217" s="48"/>
      <c r="Q217" s="48"/>
      <c r="R217" s="40"/>
      <c r="S217" s="40"/>
      <c r="T217" s="40"/>
      <c r="U217" s="40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</row>
    <row r="218" spans="1:35" ht="13.5" customHeight="1" x14ac:dyDescent="0.25">
      <c r="A218" s="48">
        <v>75</v>
      </c>
      <c r="B218" s="176" t="s">
        <v>951</v>
      </c>
      <c r="C218" s="176" t="s">
        <v>941</v>
      </c>
      <c r="D218" s="150">
        <f t="shared" si="11"/>
        <v>250</v>
      </c>
      <c r="E218" s="48"/>
      <c r="F218" s="48"/>
      <c r="G218" s="35"/>
      <c r="H218" s="35"/>
      <c r="I218" s="35"/>
      <c r="J218" s="35"/>
      <c r="K218" s="35">
        <v>250</v>
      </c>
      <c r="L218" s="35"/>
      <c r="M218" s="48"/>
      <c r="N218" s="48"/>
      <c r="O218" s="48"/>
      <c r="P218" s="48"/>
      <c r="Q218" s="48"/>
      <c r="R218" s="40"/>
      <c r="S218" s="40"/>
      <c r="T218" s="40"/>
      <c r="U218" s="40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</row>
    <row r="219" spans="1:35" ht="13.5" customHeight="1" x14ac:dyDescent="0.25">
      <c r="A219" s="48">
        <v>76</v>
      </c>
      <c r="B219" s="176" t="s">
        <v>952</v>
      </c>
      <c r="C219" s="176" t="s">
        <v>942</v>
      </c>
      <c r="D219" s="150">
        <f t="shared" si="11"/>
        <v>250</v>
      </c>
      <c r="E219" s="48"/>
      <c r="F219" s="48"/>
      <c r="G219" s="35"/>
      <c r="H219" s="35"/>
      <c r="I219" s="35"/>
      <c r="J219" s="35"/>
      <c r="K219" s="35">
        <v>250</v>
      </c>
      <c r="L219" s="35"/>
      <c r="M219" s="48"/>
      <c r="N219" s="48"/>
      <c r="O219" s="48"/>
      <c r="P219" s="48"/>
      <c r="Q219" s="48"/>
      <c r="R219" s="40"/>
      <c r="S219" s="40"/>
      <c r="T219" s="40"/>
      <c r="U219" s="40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</row>
    <row r="220" spans="1:35" ht="13.5" customHeight="1" x14ac:dyDescent="0.25">
      <c r="A220" s="48">
        <v>77</v>
      </c>
      <c r="B220" s="176" t="s">
        <v>953</v>
      </c>
      <c r="C220" s="176" t="s">
        <v>943</v>
      </c>
      <c r="D220" s="150">
        <f t="shared" si="11"/>
        <v>250</v>
      </c>
      <c r="E220" s="48"/>
      <c r="F220" s="48"/>
      <c r="G220" s="35"/>
      <c r="H220" s="35"/>
      <c r="I220" s="35"/>
      <c r="J220" s="35"/>
      <c r="K220" s="35">
        <v>250</v>
      </c>
      <c r="L220" s="35"/>
      <c r="M220" s="48"/>
      <c r="N220" s="48"/>
      <c r="O220" s="48"/>
      <c r="P220" s="48"/>
      <c r="Q220" s="48"/>
      <c r="R220" s="40"/>
      <c r="S220" s="40"/>
      <c r="T220" s="40"/>
      <c r="U220" s="40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</row>
    <row r="221" spans="1:35" ht="13.5" customHeight="1" x14ac:dyDescent="0.25">
      <c r="A221" s="48">
        <v>78</v>
      </c>
      <c r="B221" s="166" t="s">
        <v>185</v>
      </c>
      <c r="C221" s="166" t="s">
        <v>184</v>
      </c>
      <c r="D221" s="150">
        <f t="shared" si="11"/>
        <v>55000</v>
      </c>
      <c r="E221" s="137"/>
      <c r="F221" s="48"/>
      <c r="G221" s="137"/>
      <c r="H221" s="137"/>
      <c r="I221" s="35"/>
      <c r="J221" s="35"/>
      <c r="K221" s="137"/>
      <c r="L221" s="35"/>
      <c r="M221" s="48"/>
      <c r="N221" s="48"/>
      <c r="O221" s="48"/>
      <c r="P221" s="137"/>
      <c r="Q221" s="48"/>
      <c r="R221" s="40"/>
      <c r="S221" s="40"/>
      <c r="T221" s="40"/>
      <c r="U221" s="137"/>
      <c r="V221" s="48"/>
      <c r="W221" s="137"/>
      <c r="X221" s="137"/>
      <c r="Y221" s="48"/>
      <c r="Z221" s="48"/>
      <c r="AA221" s="48"/>
      <c r="AB221" s="137"/>
      <c r="AC221" s="137"/>
      <c r="AD221" s="137"/>
      <c r="AE221" s="137"/>
      <c r="AF221" s="48"/>
      <c r="AG221" s="48"/>
      <c r="AH221" s="48"/>
      <c r="AI221" s="137">
        <v>55000</v>
      </c>
    </row>
    <row r="222" spans="1:35" ht="13.5" customHeight="1" x14ac:dyDescent="0.25">
      <c r="A222" s="48">
        <v>79</v>
      </c>
      <c r="B222" s="176" t="s">
        <v>955</v>
      </c>
      <c r="C222" s="176" t="s">
        <v>954</v>
      </c>
      <c r="D222" s="150">
        <f t="shared" si="11"/>
        <v>240</v>
      </c>
      <c r="E222" s="48"/>
      <c r="F222" s="48"/>
      <c r="G222" s="35"/>
      <c r="H222" s="35"/>
      <c r="I222" s="35"/>
      <c r="J222" s="35"/>
      <c r="K222" s="35">
        <v>240</v>
      </c>
      <c r="L222" s="35"/>
      <c r="M222" s="48"/>
      <c r="N222" s="48"/>
      <c r="O222" s="48"/>
      <c r="P222" s="48"/>
      <c r="Q222" s="48"/>
      <c r="R222" s="40"/>
      <c r="S222" s="40"/>
      <c r="T222" s="40"/>
      <c r="U222" s="40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</row>
    <row r="223" spans="1:35" ht="13.5" customHeight="1" x14ac:dyDescent="0.25">
      <c r="A223" s="48">
        <v>80</v>
      </c>
      <c r="B223" s="176" t="s">
        <v>1198</v>
      </c>
      <c r="C223" s="176" t="s">
        <v>1197</v>
      </c>
      <c r="D223" s="150">
        <f t="shared" si="11"/>
        <v>1500</v>
      </c>
      <c r="E223" s="48"/>
      <c r="F223" s="48"/>
      <c r="G223" s="35"/>
      <c r="H223" s="35"/>
      <c r="I223" s="35"/>
      <c r="J223" s="35"/>
      <c r="K223" s="35"/>
      <c r="L223" s="35"/>
      <c r="M223" s="48"/>
      <c r="N223" s="48"/>
      <c r="O223" s="48"/>
      <c r="P223" s="48"/>
      <c r="Q223" s="48"/>
      <c r="R223" s="40"/>
      <c r="S223" s="40"/>
      <c r="T223" s="40"/>
      <c r="U223" s="40"/>
      <c r="V223" s="48"/>
      <c r="W223" s="48"/>
      <c r="X223" s="48"/>
      <c r="Y223" s="48"/>
      <c r="Z223" s="48"/>
      <c r="AA223" s="48"/>
      <c r="AB223" s="48"/>
      <c r="AC223" s="48"/>
      <c r="AD223" s="48"/>
      <c r="AE223" s="48">
        <v>1500</v>
      </c>
      <c r="AF223" s="48"/>
      <c r="AG223" s="48"/>
      <c r="AH223" s="48"/>
      <c r="AI223" s="48"/>
    </row>
    <row r="224" spans="1:35" ht="13.5" customHeight="1" x14ac:dyDescent="0.25">
      <c r="A224" s="48">
        <v>81</v>
      </c>
      <c r="B224" s="176" t="s">
        <v>1200</v>
      </c>
      <c r="C224" s="176" t="s">
        <v>1199</v>
      </c>
      <c r="D224" s="150">
        <f t="shared" si="11"/>
        <v>60</v>
      </c>
      <c r="E224" s="48"/>
      <c r="F224" s="48"/>
      <c r="G224" s="35"/>
      <c r="H224" s="35"/>
      <c r="I224" s="35"/>
      <c r="J224" s="35"/>
      <c r="K224" s="35"/>
      <c r="L224" s="35"/>
      <c r="M224" s="48"/>
      <c r="N224" s="48"/>
      <c r="O224" s="48"/>
      <c r="P224" s="48"/>
      <c r="Q224" s="48"/>
      <c r="R224" s="40"/>
      <c r="S224" s="40"/>
      <c r="T224" s="40"/>
      <c r="U224" s="40"/>
      <c r="V224" s="48"/>
      <c r="W224" s="48"/>
      <c r="X224" s="48"/>
      <c r="Y224" s="48"/>
      <c r="Z224" s="48"/>
      <c r="AA224" s="48"/>
      <c r="AB224" s="48"/>
      <c r="AC224" s="48"/>
      <c r="AD224" s="48"/>
      <c r="AE224" s="48">
        <v>60</v>
      </c>
      <c r="AF224" s="48"/>
      <c r="AG224" s="48"/>
      <c r="AH224" s="48"/>
      <c r="AI224" s="48"/>
    </row>
    <row r="225" spans="1:35" ht="13.5" customHeight="1" x14ac:dyDescent="0.25">
      <c r="A225" s="48">
        <v>82</v>
      </c>
      <c r="B225" s="176" t="s">
        <v>1204</v>
      </c>
      <c r="C225" s="176" t="s">
        <v>1201</v>
      </c>
      <c r="D225" s="150">
        <f t="shared" si="11"/>
        <v>240</v>
      </c>
      <c r="E225" s="48"/>
      <c r="F225" s="48"/>
      <c r="G225" s="35"/>
      <c r="H225" s="35"/>
      <c r="I225" s="35"/>
      <c r="J225" s="35"/>
      <c r="K225" s="35"/>
      <c r="L225" s="35"/>
      <c r="M225" s="48"/>
      <c r="N225" s="48"/>
      <c r="O225" s="48"/>
      <c r="P225" s="48"/>
      <c r="Q225" s="48"/>
      <c r="R225" s="40"/>
      <c r="S225" s="40"/>
      <c r="T225" s="40"/>
      <c r="U225" s="40"/>
      <c r="V225" s="48"/>
      <c r="W225" s="48"/>
      <c r="X225" s="48"/>
      <c r="Y225" s="48"/>
      <c r="Z225" s="48"/>
      <c r="AA225" s="48"/>
      <c r="AB225" s="48"/>
      <c r="AC225" s="48"/>
      <c r="AD225" s="48"/>
      <c r="AE225" s="48">
        <v>240</v>
      </c>
      <c r="AF225" s="48"/>
      <c r="AG225" s="48"/>
      <c r="AH225" s="48"/>
      <c r="AI225" s="48"/>
    </row>
    <row r="226" spans="1:35" ht="13.5" customHeight="1" x14ac:dyDescent="0.25">
      <c r="A226" s="48">
        <v>83</v>
      </c>
      <c r="B226" s="176" t="s">
        <v>1205</v>
      </c>
      <c r="C226" s="176" t="s">
        <v>1202</v>
      </c>
      <c r="D226" s="150">
        <f t="shared" si="11"/>
        <v>240</v>
      </c>
      <c r="E226" s="137"/>
      <c r="F226" s="48"/>
      <c r="G226" s="137"/>
      <c r="H226" s="137"/>
      <c r="I226" s="35"/>
      <c r="J226" s="35"/>
      <c r="K226" s="137"/>
      <c r="L226" s="137"/>
      <c r="M226" s="48"/>
      <c r="N226" s="48"/>
      <c r="O226" s="48"/>
      <c r="P226" s="137"/>
      <c r="Q226" s="48"/>
      <c r="R226" s="40"/>
      <c r="S226" s="40"/>
      <c r="T226" s="40"/>
      <c r="U226" s="137"/>
      <c r="V226" s="48"/>
      <c r="W226" s="48"/>
      <c r="X226" s="137"/>
      <c r="Y226" s="48"/>
      <c r="Z226" s="137"/>
      <c r="AA226" s="48"/>
      <c r="AB226" s="137"/>
      <c r="AC226" s="137"/>
      <c r="AD226" s="137"/>
      <c r="AE226" s="48">
        <v>240</v>
      </c>
      <c r="AF226" s="137"/>
      <c r="AG226" s="48"/>
      <c r="AH226" s="48"/>
      <c r="AI226" s="137"/>
    </row>
    <row r="227" spans="1:35" ht="13.5" customHeight="1" x14ac:dyDescent="0.25">
      <c r="A227" s="48">
        <v>84</v>
      </c>
      <c r="B227" s="176" t="s">
        <v>1206</v>
      </c>
      <c r="C227" s="176" t="s">
        <v>1203</v>
      </c>
      <c r="D227" s="150">
        <f t="shared" si="11"/>
        <v>240</v>
      </c>
      <c r="E227" s="48"/>
      <c r="F227" s="48"/>
      <c r="G227" s="35"/>
      <c r="H227" s="35"/>
      <c r="I227" s="35"/>
      <c r="J227" s="35"/>
      <c r="K227" s="35"/>
      <c r="L227" s="35"/>
      <c r="M227" s="48"/>
      <c r="N227" s="48"/>
      <c r="O227" s="48"/>
      <c r="P227" s="48"/>
      <c r="Q227" s="48"/>
      <c r="R227" s="40"/>
      <c r="S227" s="40"/>
      <c r="T227" s="40"/>
      <c r="U227" s="40"/>
      <c r="V227" s="48"/>
      <c r="W227" s="48"/>
      <c r="X227" s="48"/>
      <c r="Y227" s="48"/>
      <c r="Z227" s="48"/>
      <c r="AA227" s="48"/>
      <c r="AB227" s="48"/>
      <c r="AC227" s="48"/>
      <c r="AD227" s="48"/>
      <c r="AE227" s="48">
        <v>240</v>
      </c>
      <c r="AF227" s="48"/>
      <c r="AG227" s="48"/>
      <c r="AH227" s="48"/>
      <c r="AI227" s="48"/>
    </row>
    <row r="228" spans="1:35" ht="13.5" customHeight="1" x14ac:dyDescent="0.25">
      <c r="A228" s="48">
        <v>85</v>
      </c>
      <c r="B228" s="166" t="s">
        <v>776</v>
      </c>
      <c r="C228" s="166" t="s">
        <v>775</v>
      </c>
      <c r="D228" s="150">
        <f t="shared" si="11"/>
        <v>0</v>
      </c>
      <c r="E228" s="48"/>
      <c r="F228" s="48"/>
      <c r="G228" s="35"/>
      <c r="H228" s="35"/>
      <c r="I228" s="35"/>
      <c r="J228" s="35"/>
      <c r="K228" s="35"/>
      <c r="L228" s="35"/>
      <c r="M228" s="48"/>
      <c r="N228" s="48"/>
      <c r="O228" s="48"/>
      <c r="P228" s="48"/>
      <c r="Q228" s="48"/>
      <c r="R228" s="40"/>
      <c r="S228" s="40"/>
      <c r="T228" s="40"/>
      <c r="U228" s="40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</row>
    <row r="229" spans="1:35" ht="13.5" customHeight="1" x14ac:dyDescent="0.25">
      <c r="A229" s="48">
        <v>86</v>
      </c>
      <c r="B229" s="176" t="s">
        <v>1211</v>
      </c>
      <c r="C229" s="176" t="s">
        <v>1207</v>
      </c>
      <c r="D229" s="150">
        <f t="shared" si="11"/>
        <v>60</v>
      </c>
      <c r="E229" s="48"/>
      <c r="F229" s="48"/>
      <c r="G229" s="35"/>
      <c r="H229" s="35"/>
      <c r="I229" s="35"/>
      <c r="J229" s="35"/>
      <c r="K229" s="35"/>
      <c r="L229" s="35"/>
      <c r="M229" s="48"/>
      <c r="N229" s="48"/>
      <c r="O229" s="48"/>
      <c r="P229" s="48"/>
      <c r="Q229" s="48"/>
      <c r="R229" s="40"/>
      <c r="S229" s="40"/>
      <c r="T229" s="40"/>
      <c r="U229" s="40"/>
      <c r="V229" s="48"/>
      <c r="W229" s="48"/>
      <c r="X229" s="48"/>
      <c r="Y229" s="48"/>
      <c r="Z229" s="48"/>
      <c r="AA229" s="48"/>
      <c r="AB229" s="48"/>
      <c r="AC229" s="48"/>
      <c r="AD229" s="48"/>
      <c r="AE229" s="48">
        <v>60</v>
      </c>
      <c r="AF229" s="48"/>
      <c r="AG229" s="48"/>
      <c r="AH229" s="48"/>
      <c r="AI229" s="48"/>
    </row>
    <row r="230" spans="1:35" ht="13.5" customHeight="1" x14ac:dyDescent="0.25">
      <c r="A230" s="48">
        <v>87</v>
      </c>
      <c r="B230" s="176" t="s">
        <v>1212</v>
      </c>
      <c r="C230" s="176" t="s">
        <v>1208</v>
      </c>
      <c r="D230" s="150">
        <f t="shared" si="11"/>
        <v>60</v>
      </c>
      <c r="E230" s="48"/>
      <c r="F230" s="48"/>
      <c r="G230" s="35"/>
      <c r="H230" s="35"/>
      <c r="I230" s="35"/>
      <c r="J230" s="35"/>
      <c r="K230" s="35"/>
      <c r="L230" s="35"/>
      <c r="M230" s="48"/>
      <c r="N230" s="48"/>
      <c r="O230" s="48"/>
      <c r="P230" s="48"/>
      <c r="Q230" s="48"/>
      <c r="R230" s="40"/>
      <c r="S230" s="40"/>
      <c r="T230" s="40"/>
      <c r="U230" s="40"/>
      <c r="V230" s="48"/>
      <c r="W230" s="48"/>
      <c r="X230" s="48"/>
      <c r="Y230" s="48"/>
      <c r="Z230" s="48"/>
      <c r="AA230" s="48"/>
      <c r="AB230" s="48"/>
      <c r="AC230" s="48"/>
      <c r="AD230" s="48"/>
      <c r="AE230" s="48">
        <v>60</v>
      </c>
      <c r="AF230" s="48"/>
      <c r="AG230" s="48"/>
      <c r="AH230" s="48"/>
      <c r="AI230" s="48"/>
    </row>
    <row r="231" spans="1:35" ht="13.5" customHeight="1" x14ac:dyDescent="0.25">
      <c r="A231" s="48">
        <v>88</v>
      </c>
      <c r="B231" s="176" t="s">
        <v>1213</v>
      </c>
      <c r="C231" s="176" t="s">
        <v>1209</v>
      </c>
      <c r="D231" s="150">
        <f t="shared" si="11"/>
        <v>60</v>
      </c>
      <c r="E231" s="48"/>
      <c r="F231" s="48"/>
      <c r="G231" s="35"/>
      <c r="H231" s="35"/>
      <c r="I231" s="35"/>
      <c r="J231" s="35"/>
      <c r="K231" s="35"/>
      <c r="L231" s="35"/>
      <c r="M231" s="48"/>
      <c r="N231" s="48"/>
      <c r="O231" s="48"/>
      <c r="P231" s="48"/>
      <c r="Q231" s="48"/>
      <c r="R231" s="40"/>
      <c r="S231" s="40"/>
      <c r="T231" s="40"/>
      <c r="U231" s="40"/>
      <c r="V231" s="48"/>
      <c r="W231" s="48"/>
      <c r="X231" s="48"/>
      <c r="Y231" s="48"/>
      <c r="Z231" s="48"/>
      <c r="AA231" s="48"/>
      <c r="AB231" s="48"/>
      <c r="AC231" s="48"/>
      <c r="AD231" s="48"/>
      <c r="AE231" s="48">
        <v>60</v>
      </c>
      <c r="AF231" s="48"/>
      <c r="AG231" s="48"/>
      <c r="AH231" s="48"/>
      <c r="AI231" s="48"/>
    </row>
    <row r="232" spans="1:35" ht="13.5" customHeight="1" x14ac:dyDescent="0.25">
      <c r="A232" s="48">
        <v>89</v>
      </c>
      <c r="B232" s="176" t="s">
        <v>1214</v>
      </c>
      <c r="C232" s="176" t="s">
        <v>1210</v>
      </c>
      <c r="D232" s="150">
        <f t="shared" si="11"/>
        <v>120</v>
      </c>
      <c r="E232" s="48"/>
      <c r="F232" s="48"/>
      <c r="G232" s="35"/>
      <c r="H232" s="35"/>
      <c r="I232" s="35"/>
      <c r="J232" s="35"/>
      <c r="K232" s="35"/>
      <c r="L232" s="35"/>
      <c r="M232" s="48"/>
      <c r="N232" s="48"/>
      <c r="O232" s="48"/>
      <c r="P232" s="48"/>
      <c r="Q232" s="48"/>
      <c r="R232" s="40"/>
      <c r="S232" s="40"/>
      <c r="T232" s="40"/>
      <c r="U232" s="40"/>
      <c r="V232" s="48"/>
      <c r="W232" s="48"/>
      <c r="X232" s="48"/>
      <c r="Y232" s="48"/>
      <c r="Z232" s="48"/>
      <c r="AA232" s="48"/>
      <c r="AB232" s="48"/>
      <c r="AC232" s="48"/>
      <c r="AD232" s="48"/>
      <c r="AE232" s="48">
        <v>120</v>
      </c>
      <c r="AF232" s="48"/>
      <c r="AG232" s="48"/>
      <c r="AH232" s="48"/>
      <c r="AI232" s="48"/>
    </row>
    <row r="233" spans="1:35" ht="13.5" customHeight="1" x14ac:dyDescent="0.25">
      <c r="A233" s="48">
        <v>90</v>
      </c>
      <c r="B233" s="166" t="s">
        <v>153</v>
      </c>
      <c r="C233" s="166" t="s">
        <v>104</v>
      </c>
      <c r="D233" s="150">
        <f t="shared" si="11"/>
        <v>17700</v>
      </c>
      <c r="E233" s="48"/>
      <c r="F233" s="48"/>
      <c r="G233" s="35">
        <v>8000</v>
      </c>
      <c r="H233" s="35"/>
      <c r="I233" s="35"/>
      <c r="J233" s="137"/>
      <c r="K233" s="35"/>
      <c r="L233" s="35">
        <v>9700</v>
      </c>
      <c r="M233" s="48"/>
      <c r="N233" s="48"/>
      <c r="O233" s="48"/>
      <c r="P233" s="137"/>
      <c r="Q233" s="48"/>
      <c r="R233" s="40"/>
      <c r="S233" s="40"/>
      <c r="T233" s="40"/>
      <c r="U233" s="40"/>
      <c r="V233" s="48"/>
      <c r="W233" s="137"/>
      <c r="X233" s="137"/>
      <c r="Y233" s="48"/>
      <c r="Z233" s="48"/>
      <c r="AA233" s="48"/>
      <c r="AB233" s="137"/>
      <c r="AC233" s="137"/>
      <c r="AD233" s="137"/>
      <c r="AE233" s="137"/>
      <c r="AF233" s="137"/>
      <c r="AG233" s="48"/>
      <c r="AH233" s="48"/>
      <c r="AI233" s="137"/>
    </row>
    <row r="234" spans="1:35" ht="13.5" customHeight="1" x14ac:dyDescent="0.25">
      <c r="A234" s="48">
        <v>91</v>
      </c>
      <c r="B234" s="166" t="s">
        <v>482</v>
      </c>
      <c r="C234" s="166" t="s">
        <v>483</v>
      </c>
      <c r="D234" s="150">
        <f t="shared" si="11"/>
        <v>7500</v>
      </c>
      <c r="E234" s="48">
        <v>2500</v>
      </c>
      <c r="F234" s="48"/>
      <c r="G234" s="35"/>
      <c r="H234" s="35"/>
      <c r="I234" s="35"/>
      <c r="J234" s="35"/>
      <c r="K234" s="35"/>
      <c r="L234" s="35"/>
      <c r="M234" s="48"/>
      <c r="N234" s="48"/>
      <c r="O234" s="48"/>
      <c r="P234" s="48"/>
      <c r="Q234" s="48"/>
      <c r="R234" s="40"/>
      <c r="S234" s="40"/>
      <c r="T234" s="40"/>
      <c r="U234" s="40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>
        <v>5000</v>
      </c>
      <c r="AG234" s="48"/>
      <c r="AH234" s="48"/>
      <c r="AI234" s="48"/>
    </row>
    <row r="235" spans="1:35" ht="13.5" customHeight="1" x14ac:dyDescent="0.25">
      <c r="A235" s="48">
        <v>92</v>
      </c>
      <c r="B235" s="166" t="s">
        <v>190</v>
      </c>
      <c r="C235" s="166" t="s">
        <v>188</v>
      </c>
      <c r="D235" s="150">
        <f t="shared" si="11"/>
        <v>0</v>
      </c>
      <c r="E235" s="48"/>
      <c r="F235" s="48"/>
      <c r="G235" s="35"/>
      <c r="H235" s="35"/>
      <c r="I235" s="35"/>
      <c r="J235" s="35"/>
      <c r="K235" s="35"/>
      <c r="L235" s="35"/>
      <c r="M235" s="48"/>
      <c r="N235" s="48"/>
      <c r="O235" s="48"/>
      <c r="P235" s="48"/>
      <c r="Q235" s="48"/>
      <c r="R235" s="40"/>
      <c r="S235" s="40"/>
      <c r="T235" s="40"/>
      <c r="U235" s="40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</row>
    <row r="236" spans="1:35" ht="13.5" customHeight="1" x14ac:dyDescent="0.25">
      <c r="A236" s="48">
        <v>93</v>
      </c>
      <c r="B236" s="166" t="s">
        <v>191</v>
      </c>
      <c r="C236" s="166" t="s">
        <v>189</v>
      </c>
      <c r="D236" s="150">
        <f t="shared" si="11"/>
        <v>200</v>
      </c>
      <c r="E236" s="48"/>
      <c r="F236" s="48"/>
      <c r="G236" s="35"/>
      <c r="H236" s="35"/>
      <c r="I236" s="35"/>
      <c r="J236" s="35"/>
      <c r="K236" s="35"/>
      <c r="L236" s="35">
        <v>200</v>
      </c>
      <c r="M236" s="48"/>
      <c r="N236" s="48"/>
      <c r="O236" s="48"/>
      <c r="P236" s="48"/>
      <c r="Q236" s="48"/>
      <c r="R236" s="40"/>
      <c r="S236" s="40"/>
      <c r="T236" s="40"/>
      <c r="U236" s="40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</row>
    <row r="237" spans="1:35" ht="13.5" customHeight="1" x14ac:dyDescent="0.25">
      <c r="A237" s="48">
        <v>94</v>
      </c>
      <c r="B237" s="166" t="s">
        <v>397</v>
      </c>
      <c r="C237" s="166" t="s">
        <v>400</v>
      </c>
      <c r="D237" s="150">
        <f t="shared" si="11"/>
        <v>0</v>
      </c>
      <c r="E237" s="48"/>
      <c r="F237" s="48"/>
      <c r="G237" s="35"/>
      <c r="H237" s="35"/>
      <c r="I237" s="35"/>
      <c r="J237" s="35"/>
      <c r="K237" s="35"/>
      <c r="L237" s="35"/>
      <c r="M237" s="48"/>
      <c r="N237" s="48"/>
      <c r="O237" s="48"/>
      <c r="P237" s="48"/>
      <c r="Q237" s="48"/>
      <c r="R237" s="40"/>
      <c r="S237" s="40"/>
      <c r="T237" s="40"/>
      <c r="U237" s="40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</row>
    <row r="238" spans="1:35" ht="13.5" customHeight="1" x14ac:dyDescent="0.25">
      <c r="A238" s="48">
        <v>95</v>
      </c>
      <c r="B238" s="166" t="s">
        <v>398</v>
      </c>
      <c r="C238" s="166" t="s">
        <v>401</v>
      </c>
      <c r="D238" s="150">
        <f t="shared" si="11"/>
        <v>0</v>
      </c>
      <c r="E238" s="48"/>
      <c r="F238" s="48"/>
      <c r="G238" s="35"/>
      <c r="H238" s="35"/>
      <c r="I238" s="35"/>
      <c r="J238" s="35"/>
      <c r="K238" s="35"/>
      <c r="L238" s="35"/>
      <c r="M238" s="48"/>
      <c r="N238" s="48"/>
      <c r="O238" s="48"/>
      <c r="P238" s="48"/>
      <c r="Q238" s="48"/>
      <c r="R238" s="40"/>
      <c r="S238" s="40"/>
      <c r="T238" s="40"/>
      <c r="U238" s="40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</row>
    <row r="239" spans="1:35" ht="13.5" customHeight="1" x14ac:dyDescent="0.25">
      <c r="A239" s="48">
        <v>96</v>
      </c>
      <c r="B239" s="166" t="s">
        <v>399</v>
      </c>
      <c r="C239" s="166" t="s">
        <v>402</v>
      </c>
      <c r="D239" s="150">
        <f t="shared" si="11"/>
        <v>0</v>
      </c>
      <c r="E239" s="48"/>
      <c r="F239" s="48"/>
      <c r="G239" s="35"/>
      <c r="H239" s="35"/>
      <c r="I239" s="35"/>
      <c r="J239" s="35"/>
      <c r="K239" s="35"/>
      <c r="L239" s="35"/>
      <c r="M239" s="48"/>
      <c r="N239" s="48"/>
      <c r="O239" s="48"/>
      <c r="P239" s="48"/>
      <c r="Q239" s="48"/>
      <c r="R239" s="40"/>
      <c r="S239" s="40"/>
      <c r="T239" s="40"/>
      <c r="U239" s="40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</row>
    <row r="240" spans="1:35" ht="13.5" customHeight="1" x14ac:dyDescent="0.25">
      <c r="A240" s="48">
        <v>97</v>
      </c>
      <c r="B240" s="166" t="s">
        <v>193</v>
      </c>
      <c r="C240" s="166" t="s">
        <v>192</v>
      </c>
      <c r="D240" s="150">
        <f t="shared" si="11"/>
        <v>360</v>
      </c>
      <c r="E240" s="48"/>
      <c r="F240" s="48"/>
      <c r="G240" s="35"/>
      <c r="H240" s="35"/>
      <c r="I240" s="35"/>
      <c r="J240" s="35"/>
      <c r="K240" s="35"/>
      <c r="L240" s="35"/>
      <c r="M240" s="48"/>
      <c r="N240" s="48"/>
      <c r="O240" s="48"/>
      <c r="P240" s="48"/>
      <c r="Q240" s="48"/>
      <c r="R240" s="40"/>
      <c r="S240" s="40"/>
      <c r="T240" s="40"/>
      <c r="U240" s="40"/>
      <c r="V240" s="48"/>
      <c r="W240" s="48"/>
      <c r="X240" s="48"/>
      <c r="Y240" s="48"/>
      <c r="Z240" s="48"/>
      <c r="AA240" s="48"/>
      <c r="AB240" s="48">
        <v>360</v>
      </c>
      <c r="AC240" s="48"/>
      <c r="AD240" s="48"/>
      <c r="AE240" s="48"/>
      <c r="AF240" s="48"/>
      <c r="AG240" s="48"/>
      <c r="AH240" s="48"/>
      <c r="AI240" s="48"/>
    </row>
    <row r="241" spans="1:35" ht="13.5" customHeight="1" x14ac:dyDescent="0.25">
      <c r="A241" s="48">
        <v>98</v>
      </c>
      <c r="B241" s="166" t="s">
        <v>230</v>
      </c>
      <c r="C241" s="166" t="s">
        <v>229</v>
      </c>
      <c r="D241" s="150">
        <f t="shared" ref="D241:D272" si="12">SUM(E241:AI241)</f>
        <v>0</v>
      </c>
      <c r="E241" s="48"/>
      <c r="F241" s="48"/>
      <c r="G241" s="35"/>
      <c r="H241" s="35"/>
      <c r="I241" s="35"/>
      <c r="J241" s="35"/>
      <c r="K241" s="35"/>
      <c r="L241" s="35"/>
      <c r="M241" s="48"/>
      <c r="N241" s="48"/>
      <c r="O241" s="48"/>
      <c r="P241" s="48"/>
      <c r="Q241" s="48"/>
      <c r="R241" s="40"/>
      <c r="S241" s="40"/>
      <c r="T241" s="40"/>
      <c r="U241" s="40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</row>
    <row r="242" spans="1:35" ht="13.5" customHeight="1" x14ac:dyDescent="0.25">
      <c r="A242" s="48">
        <v>99</v>
      </c>
      <c r="B242" s="166" t="s">
        <v>154</v>
      </c>
      <c r="C242" s="166" t="s">
        <v>105</v>
      </c>
      <c r="D242" s="150">
        <f t="shared" si="12"/>
        <v>0</v>
      </c>
      <c r="E242" s="137"/>
      <c r="F242" s="48"/>
      <c r="G242" s="137"/>
      <c r="H242" s="137"/>
      <c r="I242" s="35"/>
      <c r="J242" s="137"/>
      <c r="K242" s="35"/>
      <c r="L242" s="137"/>
      <c r="M242" s="137"/>
      <c r="N242" s="48"/>
      <c r="O242" s="137"/>
      <c r="P242" s="137"/>
      <c r="Q242" s="48"/>
      <c r="R242" s="40"/>
      <c r="S242" s="40"/>
      <c r="T242" s="40"/>
      <c r="U242" s="137"/>
      <c r="V242" s="48"/>
      <c r="W242" s="137"/>
      <c r="X242" s="48"/>
      <c r="Y242" s="48"/>
      <c r="Z242" s="137"/>
      <c r="AA242" s="48"/>
      <c r="AB242" s="137"/>
      <c r="AC242" s="137"/>
      <c r="AD242" s="137"/>
      <c r="AE242" s="137"/>
      <c r="AF242" s="137"/>
      <c r="AG242" s="48"/>
      <c r="AH242" s="48"/>
      <c r="AI242" s="137"/>
    </row>
    <row r="243" spans="1:35" ht="13.5" customHeight="1" x14ac:dyDescent="0.25">
      <c r="A243" s="48">
        <v>100</v>
      </c>
      <c r="B243" s="166" t="s">
        <v>155</v>
      </c>
      <c r="C243" s="166" t="s">
        <v>106</v>
      </c>
      <c r="D243" s="150">
        <f t="shared" si="12"/>
        <v>0</v>
      </c>
      <c r="E243" s="48"/>
      <c r="F243" s="48"/>
      <c r="G243" s="35"/>
      <c r="H243" s="35"/>
      <c r="I243" s="35"/>
      <c r="J243" s="35"/>
      <c r="K243" s="35"/>
      <c r="L243" s="35"/>
      <c r="M243" s="48"/>
      <c r="N243" s="48"/>
      <c r="O243" s="48"/>
      <c r="P243" s="48"/>
      <c r="Q243" s="48"/>
      <c r="R243" s="40"/>
      <c r="S243" s="40"/>
      <c r="T243" s="40"/>
      <c r="U243" s="40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</row>
    <row r="244" spans="1:35" ht="13.5" customHeight="1" x14ac:dyDescent="0.25">
      <c r="A244" s="48">
        <v>101</v>
      </c>
      <c r="B244" s="166" t="s">
        <v>156</v>
      </c>
      <c r="C244" s="166" t="s">
        <v>107</v>
      </c>
      <c r="D244" s="150">
        <f t="shared" si="12"/>
        <v>0</v>
      </c>
      <c r="E244" s="48"/>
      <c r="F244" s="48"/>
      <c r="G244" s="35"/>
      <c r="H244" s="35"/>
      <c r="I244" s="35"/>
      <c r="J244" s="35"/>
      <c r="K244" s="35"/>
      <c r="L244" s="35"/>
      <c r="M244" s="48"/>
      <c r="N244" s="48"/>
      <c r="O244" s="48"/>
      <c r="P244" s="48"/>
      <c r="Q244" s="48"/>
      <c r="R244" s="40"/>
      <c r="S244" s="40"/>
      <c r="T244" s="40"/>
      <c r="U244" s="40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</row>
    <row r="245" spans="1:35" ht="13.5" customHeight="1" x14ac:dyDescent="0.25">
      <c r="A245" s="48">
        <v>102</v>
      </c>
      <c r="B245" s="166" t="s">
        <v>234</v>
      </c>
      <c r="C245" s="166" t="s">
        <v>233</v>
      </c>
      <c r="D245" s="150">
        <f t="shared" si="12"/>
        <v>180</v>
      </c>
      <c r="E245" s="48"/>
      <c r="F245" s="48"/>
      <c r="G245" s="35"/>
      <c r="H245" s="35"/>
      <c r="I245" s="35"/>
      <c r="J245" s="35"/>
      <c r="K245" s="35">
        <v>180</v>
      </c>
      <c r="L245" s="35"/>
      <c r="M245" s="48"/>
      <c r="N245" s="48"/>
      <c r="O245" s="48"/>
      <c r="P245" s="48"/>
      <c r="Q245" s="48"/>
      <c r="R245" s="40"/>
      <c r="S245" s="40"/>
      <c r="T245" s="40"/>
      <c r="U245" s="40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</row>
    <row r="246" spans="1:35" ht="13.5" customHeight="1" x14ac:dyDescent="0.25">
      <c r="A246" s="48">
        <v>103</v>
      </c>
      <c r="B246" s="166" t="s">
        <v>195</v>
      </c>
      <c r="C246" s="166" t="s">
        <v>194</v>
      </c>
      <c r="D246" s="150">
        <f t="shared" si="12"/>
        <v>5000</v>
      </c>
      <c r="E246" s="48"/>
      <c r="F246" s="48"/>
      <c r="G246" s="35"/>
      <c r="H246" s="35"/>
      <c r="I246" s="35"/>
      <c r="J246" s="35"/>
      <c r="K246" s="35"/>
      <c r="L246" s="35"/>
      <c r="M246" s="48"/>
      <c r="N246" s="48"/>
      <c r="O246" s="48"/>
      <c r="P246" s="48">
        <v>5000</v>
      </c>
      <c r="Q246" s="48"/>
      <c r="R246" s="40"/>
      <c r="S246" s="40"/>
      <c r="T246" s="40"/>
      <c r="U246" s="40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</row>
    <row r="247" spans="1:35" ht="13.5" customHeight="1" x14ac:dyDescent="0.25">
      <c r="A247" s="48">
        <v>104</v>
      </c>
      <c r="B247" s="176" t="s">
        <v>1111</v>
      </c>
      <c r="C247" s="176" t="s">
        <v>1139</v>
      </c>
      <c r="D247" s="150">
        <f t="shared" si="12"/>
        <v>1900</v>
      </c>
      <c r="E247" s="48"/>
      <c r="F247" s="48"/>
      <c r="G247" s="35"/>
      <c r="H247" s="35"/>
      <c r="I247" s="35"/>
      <c r="J247" s="35"/>
      <c r="K247" s="35"/>
      <c r="L247" s="35"/>
      <c r="M247" s="48"/>
      <c r="N247" s="48"/>
      <c r="O247" s="48"/>
      <c r="P247" s="48"/>
      <c r="Q247" s="48"/>
      <c r="R247" s="40"/>
      <c r="S247" s="40"/>
      <c r="T247" s="40"/>
      <c r="U247" s="40"/>
      <c r="V247" s="48"/>
      <c r="W247" s="48"/>
      <c r="X247" s="48"/>
      <c r="Y247" s="48"/>
      <c r="Z247" s="48"/>
      <c r="AA247" s="48">
        <v>1900</v>
      </c>
      <c r="AB247" s="48"/>
      <c r="AC247" s="48"/>
      <c r="AD247" s="48"/>
      <c r="AE247" s="48"/>
      <c r="AF247" s="48"/>
      <c r="AG247" s="48"/>
      <c r="AH247" s="48"/>
      <c r="AI247" s="48"/>
    </row>
    <row r="248" spans="1:35" ht="13.5" customHeight="1" x14ac:dyDescent="0.25">
      <c r="A248" s="48">
        <v>105</v>
      </c>
      <c r="B248" s="176" t="s">
        <v>1143</v>
      </c>
      <c r="C248" s="176" t="s">
        <v>1140</v>
      </c>
      <c r="D248" s="150">
        <f t="shared" si="12"/>
        <v>500</v>
      </c>
      <c r="E248" s="48"/>
      <c r="F248" s="48"/>
      <c r="G248" s="35"/>
      <c r="H248" s="35"/>
      <c r="I248" s="35"/>
      <c r="J248" s="35"/>
      <c r="K248" s="35"/>
      <c r="L248" s="35"/>
      <c r="M248" s="48"/>
      <c r="N248" s="48"/>
      <c r="O248" s="48"/>
      <c r="P248" s="48"/>
      <c r="Q248" s="48"/>
      <c r="R248" s="40"/>
      <c r="S248" s="40"/>
      <c r="T248" s="40"/>
      <c r="U248" s="40"/>
      <c r="V248" s="48"/>
      <c r="W248" s="48"/>
      <c r="X248" s="48"/>
      <c r="Y248" s="48"/>
      <c r="Z248" s="48"/>
      <c r="AA248" s="48">
        <v>500</v>
      </c>
      <c r="AB248" s="48"/>
      <c r="AC248" s="48"/>
      <c r="AD248" s="48"/>
      <c r="AE248" s="48"/>
      <c r="AF248" s="48"/>
      <c r="AG248" s="48"/>
      <c r="AH248" s="48"/>
      <c r="AI248" s="48"/>
    </row>
    <row r="249" spans="1:35" ht="13.5" customHeight="1" x14ac:dyDescent="0.25">
      <c r="A249" s="48">
        <v>106</v>
      </c>
      <c r="B249" s="176" t="s">
        <v>1137</v>
      </c>
      <c r="C249" s="176" t="s">
        <v>1141</v>
      </c>
      <c r="D249" s="150">
        <f t="shared" si="12"/>
        <v>1300</v>
      </c>
      <c r="E249" s="48"/>
      <c r="F249" s="48"/>
      <c r="G249" s="35"/>
      <c r="H249" s="35"/>
      <c r="I249" s="35"/>
      <c r="J249" s="35"/>
      <c r="K249" s="35"/>
      <c r="L249" s="35"/>
      <c r="M249" s="48"/>
      <c r="N249" s="48"/>
      <c r="O249" s="48"/>
      <c r="P249" s="48"/>
      <c r="Q249" s="48"/>
      <c r="R249" s="40"/>
      <c r="S249" s="40"/>
      <c r="T249" s="40"/>
      <c r="U249" s="40"/>
      <c r="V249" s="48"/>
      <c r="W249" s="48"/>
      <c r="X249" s="48"/>
      <c r="Y249" s="48"/>
      <c r="Z249" s="48"/>
      <c r="AA249" s="48">
        <v>300</v>
      </c>
      <c r="AB249" s="48">
        <v>1000</v>
      </c>
      <c r="AC249" s="48"/>
      <c r="AD249" s="48"/>
      <c r="AE249" s="48"/>
      <c r="AF249" s="48"/>
      <c r="AG249" s="48"/>
      <c r="AH249" s="48"/>
      <c r="AI249" s="48"/>
    </row>
    <row r="250" spans="1:35" ht="13.5" customHeight="1" x14ac:dyDescent="0.25">
      <c r="A250" s="48">
        <v>107</v>
      </c>
      <c r="B250" s="176" t="s">
        <v>1144</v>
      </c>
      <c r="C250" s="176" t="s">
        <v>1142</v>
      </c>
      <c r="D250" s="150">
        <f t="shared" si="12"/>
        <v>200</v>
      </c>
      <c r="E250" s="48"/>
      <c r="F250" s="48"/>
      <c r="G250" s="35"/>
      <c r="H250" s="35"/>
      <c r="I250" s="35"/>
      <c r="J250" s="35"/>
      <c r="K250" s="35"/>
      <c r="L250" s="35"/>
      <c r="M250" s="48"/>
      <c r="N250" s="48"/>
      <c r="O250" s="48"/>
      <c r="P250" s="169"/>
      <c r="Q250" s="48"/>
      <c r="R250" s="40"/>
      <c r="S250" s="40"/>
      <c r="T250" s="40"/>
      <c r="U250" s="40"/>
      <c r="V250" s="48"/>
      <c r="W250" s="48"/>
      <c r="X250" s="48"/>
      <c r="Y250" s="48"/>
      <c r="Z250" s="48"/>
      <c r="AA250" s="48">
        <v>200</v>
      </c>
      <c r="AB250" s="48"/>
      <c r="AC250" s="48"/>
      <c r="AD250" s="48"/>
      <c r="AE250" s="48"/>
      <c r="AF250" s="48"/>
      <c r="AG250" s="48"/>
      <c r="AH250" s="48"/>
      <c r="AI250" s="48"/>
    </row>
    <row r="251" spans="1:35" ht="13.5" customHeight="1" x14ac:dyDescent="0.25">
      <c r="A251" s="48">
        <v>108</v>
      </c>
      <c r="B251" s="176" t="s">
        <v>1148</v>
      </c>
      <c r="C251" s="176" t="s">
        <v>1145</v>
      </c>
      <c r="D251" s="150">
        <f t="shared" si="12"/>
        <v>9950</v>
      </c>
      <c r="E251" s="48"/>
      <c r="F251" s="48"/>
      <c r="G251" s="35"/>
      <c r="H251" s="35"/>
      <c r="I251" s="35"/>
      <c r="J251" s="35"/>
      <c r="K251" s="35"/>
      <c r="L251" s="35"/>
      <c r="M251" s="48"/>
      <c r="N251" s="48"/>
      <c r="O251" s="48"/>
      <c r="P251" s="169"/>
      <c r="Q251" s="48"/>
      <c r="R251" s="40"/>
      <c r="S251" s="40"/>
      <c r="T251" s="40"/>
      <c r="U251" s="40"/>
      <c r="V251" s="48"/>
      <c r="W251" s="48"/>
      <c r="X251" s="48"/>
      <c r="Y251" s="48"/>
      <c r="Z251" s="48"/>
      <c r="AA251" s="48">
        <v>9950</v>
      </c>
      <c r="AB251" s="48"/>
      <c r="AC251" s="48"/>
      <c r="AD251" s="48"/>
      <c r="AE251" s="48"/>
      <c r="AF251" s="48"/>
      <c r="AG251" s="48"/>
      <c r="AH251" s="48"/>
      <c r="AI251" s="48"/>
    </row>
    <row r="252" spans="1:35" ht="13.5" customHeight="1" x14ac:dyDescent="0.25">
      <c r="A252" s="48">
        <v>109</v>
      </c>
      <c r="B252" s="176" t="s">
        <v>1149</v>
      </c>
      <c r="C252" s="176" t="s">
        <v>1146</v>
      </c>
      <c r="D252" s="150">
        <f t="shared" si="12"/>
        <v>5000</v>
      </c>
      <c r="E252" s="48"/>
      <c r="F252" s="48"/>
      <c r="G252" s="35"/>
      <c r="H252" s="35"/>
      <c r="I252" s="35"/>
      <c r="J252" s="35"/>
      <c r="K252" s="35"/>
      <c r="L252" s="35"/>
      <c r="M252" s="48"/>
      <c r="N252" s="48"/>
      <c r="O252" s="48"/>
      <c r="P252" s="169"/>
      <c r="Q252" s="48"/>
      <c r="R252" s="40"/>
      <c r="S252" s="40"/>
      <c r="T252" s="40"/>
      <c r="U252" s="40"/>
      <c r="V252" s="48"/>
      <c r="W252" s="48"/>
      <c r="X252" s="48"/>
      <c r="Y252" s="48"/>
      <c r="Z252" s="48"/>
      <c r="AA252" s="48">
        <v>5000</v>
      </c>
      <c r="AB252" s="48"/>
      <c r="AC252" s="48"/>
      <c r="AD252" s="48"/>
      <c r="AE252" s="48"/>
      <c r="AF252" s="48"/>
      <c r="AG252" s="48"/>
      <c r="AH252" s="48"/>
      <c r="AI252" s="48"/>
    </row>
    <row r="253" spans="1:35" ht="13.5" customHeight="1" x14ac:dyDescent="0.25">
      <c r="A253" s="48">
        <v>110</v>
      </c>
      <c r="B253" s="176" t="s">
        <v>1150</v>
      </c>
      <c r="C253" s="176" t="s">
        <v>1147</v>
      </c>
      <c r="D253" s="150">
        <f t="shared" si="12"/>
        <v>4550</v>
      </c>
      <c r="E253" s="48"/>
      <c r="F253" s="48"/>
      <c r="G253" s="35"/>
      <c r="H253" s="35"/>
      <c r="I253" s="35"/>
      <c r="J253" s="35"/>
      <c r="K253" s="35"/>
      <c r="L253" s="35"/>
      <c r="M253" s="48"/>
      <c r="N253" s="48"/>
      <c r="O253" s="48"/>
      <c r="P253" s="169"/>
      <c r="Q253" s="48"/>
      <c r="R253" s="40"/>
      <c r="S253" s="40"/>
      <c r="T253" s="40"/>
      <c r="U253" s="40"/>
      <c r="V253" s="48"/>
      <c r="W253" s="48"/>
      <c r="X253" s="48"/>
      <c r="Y253" s="48"/>
      <c r="Z253" s="48"/>
      <c r="AA253" s="48">
        <v>4550</v>
      </c>
      <c r="AB253" s="48"/>
      <c r="AC253" s="48"/>
      <c r="AD253" s="48"/>
      <c r="AE253" s="48"/>
      <c r="AF253" s="48"/>
      <c r="AG253" s="48"/>
      <c r="AH253" s="48"/>
      <c r="AI253" s="48"/>
    </row>
    <row r="254" spans="1:35" ht="13.5" customHeight="1" x14ac:dyDescent="0.25">
      <c r="A254" s="48">
        <v>111</v>
      </c>
      <c r="B254" s="166" t="s">
        <v>741</v>
      </c>
      <c r="C254" s="166" t="s">
        <v>739</v>
      </c>
      <c r="D254" s="150">
        <f t="shared" si="12"/>
        <v>0</v>
      </c>
      <c r="E254" s="48"/>
      <c r="F254" s="48"/>
      <c r="G254" s="35"/>
      <c r="H254" s="35"/>
      <c r="I254" s="35"/>
      <c r="J254" s="35"/>
      <c r="K254" s="35"/>
      <c r="L254" s="35"/>
      <c r="M254" s="48"/>
      <c r="N254" s="48"/>
      <c r="O254" s="48"/>
      <c r="P254" s="169"/>
      <c r="Q254" s="48"/>
      <c r="R254" s="40"/>
      <c r="S254" s="40"/>
      <c r="T254" s="40"/>
      <c r="U254" s="40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</row>
    <row r="255" spans="1:35" ht="13.5" customHeight="1" x14ac:dyDescent="0.25">
      <c r="A255" s="48">
        <v>112</v>
      </c>
      <c r="B255" s="166" t="s">
        <v>742</v>
      </c>
      <c r="C255" s="166" t="s">
        <v>740</v>
      </c>
      <c r="D255" s="150">
        <f t="shared" si="12"/>
        <v>0</v>
      </c>
      <c r="E255" s="48"/>
      <c r="F255" s="48"/>
      <c r="G255" s="35"/>
      <c r="H255" s="35"/>
      <c r="I255" s="35"/>
      <c r="J255" s="35"/>
      <c r="K255" s="35"/>
      <c r="L255" s="35"/>
      <c r="M255" s="48"/>
      <c r="N255" s="48"/>
      <c r="O255" s="48"/>
      <c r="P255" s="169"/>
      <c r="Q255" s="48"/>
      <c r="R255" s="40"/>
      <c r="S255" s="40"/>
      <c r="T255" s="40"/>
      <c r="U255" s="40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</row>
    <row r="256" spans="1:35" ht="13.5" customHeight="1" x14ac:dyDescent="0.25">
      <c r="A256" s="48">
        <v>113</v>
      </c>
      <c r="B256" s="166" t="s">
        <v>745</v>
      </c>
      <c r="C256" s="166" t="s">
        <v>743</v>
      </c>
      <c r="D256" s="150">
        <f t="shared" si="12"/>
        <v>0</v>
      </c>
      <c r="E256" s="48"/>
      <c r="F256" s="48"/>
      <c r="G256" s="35"/>
      <c r="H256" s="35"/>
      <c r="I256" s="35"/>
      <c r="J256" s="35"/>
      <c r="K256" s="35"/>
      <c r="L256" s="35"/>
      <c r="M256" s="48"/>
      <c r="N256" s="48"/>
      <c r="O256" s="48"/>
      <c r="P256" s="48"/>
      <c r="Q256" s="48"/>
      <c r="R256" s="40"/>
      <c r="S256" s="40"/>
      <c r="T256" s="40"/>
      <c r="U256" s="40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</row>
    <row r="257" spans="1:35" ht="13.5" customHeight="1" x14ac:dyDescent="0.25">
      <c r="A257" s="48">
        <v>114</v>
      </c>
      <c r="B257" s="166" t="s">
        <v>746</v>
      </c>
      <c r="C257" s="166" t="s">
        <v>744</v>
      </c>
      <c r="D257" s="150">
        <f t="shared" si="12"/>
        <v>0</v>
      </c>
      <c r="E257" s="48"/>
      <c r="F257" s="48"/>
      <c r="G257" s="35"/>
      <c r="H257" s="35"/>
      <c r="I257" s="35"/>
      <c r="J257" s="35"/>
      <c r="K257" s="35"/>
      <c r="L257" s="35"/>
      <c r="M257" s="48"/>
      <c r="N257" s="48"/>
      <c r="O257" s="48"/>
      <c r="P257" s="48"/>
      <c r="Q257" s="48"/>
      <c r="R257" s="40"/>
      <c r="S257" s="40"/>
      <c r="T257" s="40"/>
      <c r="U257" s="40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</row>
    <row r="258" spans="1:35" ht="13.5" customHeight="1" x14ac:dyDescent="0.25">
      <c r="A258" s="48">
        <v>115</v>
      </c>
      <c r="B258" s="166" t="s">
        <v>468</v>
      </c>
      <c r="C258" s="166" t="s">
        <v>469</v>
      </c>
      <c r="D258" s="150">
        <f t="shared" si="12"/>
        <v>0</v>
      </c>
      <c r="E258" s="48"/>
      <c r="F258" s="48"/>
      <c r="G258" s="35"/>
      <c r="H258" s="35"/>
      <c r="I258" s="35"/>
      <c r="J258" s="35"/>
      <c r="K258" s="35"/>
      <c r="L258" s="35"/>
      <c r="M258" s="48"/>
      <c r="N258" s="48"/>
      <c r="O258" s="48"/>
      <c r="P258" s="48"/>
      <c r="Q258" s="48"/>
      <c r="R258" s="40"/>
      <c r="S258" s="40"/>
      <c r="T258" s="40"/>
      <c r="U258" s="40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</row>
    <row r="259" spans="1:35" ht="13.5" customHeight="1" x14ac:dyDescent="0.25">
      <c r="A259" s="48">
        <v>116</v>
      </c>
      <c r="B259" s="166" t="s">
        <v>474</v>
      </c>
      <c r="C259" s="166" t="s">
        <v>475</v>
      </c>
      <c r="D259" s="150">
        <f t="shared" si="12"/>
        <v>0</v>
      </c>
      <c r="E259" s="48"/>
      <c r="F259" s="48"/>
      <c r="G259" s="35"/>
      <c r="H259" s="35"/>
      <c r="I259" s="35"/>
      <c r="J259" s="35"/>
      <c r="K259" s="35"/>
      <c r="L259" s="35"/>
      <c r="M259" s="48"/>
      <c r="N259" s="48"/>
      <c r="O259" s="48"/>
      <c r="P259" s="48"/>
      <c r="Q259" s="48"/>
      <c r="R259" s="40"/>
      <c r="S259" s="40"/>
      <c r="T259" s="40"/>
      <c r="U259" s="40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</row>
    <row r="260" spans="1:35" ht="13.5" customHeight="1" x14ac:dyDescent="0.25">
      <c r="A260" s="48">
        <v>117</v>
      </c>
      <c r="B260" s="166" t="s">
        <v>222</v>
      </c>
      <c r="C260" s="166" t="s">
        <v>221</v>
      </c>
      <c r="D260" s="150">
        <f t="shared" si="12"/>
        <v>0</v>
      </c>
      <c r="E260" s="137"/>
      <c r="F260" s="48"/>
      <c r="G260" s="137"/>
      <c r="H260" s="137"/>
      <c r="I260" s="35"/>
      <c r="J260" s="137"/>
      <c r="K260" s="35"/>
      <c r="L260" s="137"/>
      <c r="M260" s="137"/>
      <c r="N260" s="48"/>
      <c r="O260" s="137"/>
      <c r="P260" s="137"/>
      <c r="Q260" s="48"/>
      <c r="R260" s="40"/>
      <c r="S260" s="40"/>
      <c r="T260" s="40"/>
      <c r="U260" s="137"/>
      <c r="V260" s="48"/>
      <c r="W260" s="137"/>
      <c r="X260" s="137"/>
      <c r="Y260" s="48"/>
      <c r="Z260" s="137"/>
      <c r="AA260" s="48"/>
      <c r="AB260" s="137"/>
      <c r="AC260" s="137"/>
      <c r="AD260" s="137"/>
      <c r="AE260" s="137"/>
      <c r="AF260" s="137"/>
      <c r="AG260" s="48"/>
      <c r="AH260" s="48"/>
      <c r="AI260" s="137"/>
    </row>
    <row r="261" spans="1:35" ht="13.5" customHeight="1" x14ac:dyDescent="0.25">
      <c r="A261" s="48">
        <v>118</v>
      </c>
      <c r="B261" s="176" t="s">
        <v>963</v>
      </c>
      <c r="C261" s="176" t="s">
        <v>960</v>
      </c>
      <c r="D261" s="150">
        <f t="shared" si="12"/>
        <v>2500</v>
      </c>
      <c r="E261" s="48"/>
      <c r="F261" s="48"/>
      <c r="G261" s="35"/>
      <c r="H261" s="35"/>
      <c r="I261" s="35"/>
      <c r="J261" s="35"/>
      <c r="K261" s="35"/>
      <c r="L261" s="35">
        <v>2500</v>
      </c>
      <c r="M261" s="48"/>
      <c r="N261" s="48"/>
      <c r="O261" s="48"/>
      <c r="P261" s="48"/>
      <c r="Q261" s="48"/>
      <c r="R261" s="40"/>
      <c r="S261" s="40"/>
      <c r="T261" s="40"/>
      <c r="U261" s="40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</row>
    <row r="262" spans="1:35" ht="13.5" customHeight="1" x14ac:dyDescent="0.25">
      <c r="A262" s="48">
        <v>119</v>
      </c>
      <c r="B262" s="176" t="s">
        <v>964</v>
      </c>
      <c r="C262" s="176" t="s">
        <v>961</v>
      </c>
      <c r="D262" s="150">
        <f t="shared" si="12"/>
        <v>4500</v>
      </c>
      <c r="E262" s="48"/>
      <c r="F262" s="48"/>
      <c r="G262" s="35"/>
      <c r="H262" s="35"/>
      <c r="I262" s="35"/>
      <c r="J262" s="35"/>
      <c r="K262" s="35"/>
      <c r="L262" s="35"/>
      <c r="M262" s="48"/>
      <c r="N262" s="48"/>
      <c r="O262" s="48"/>
      <c r="P262" s="48"/>
      <c r="Q262" s="48"/>
      <c r="R262" s="40"/>
      <c r="S262" s="40"/>
      <c r="T262" s="40"/>
      <c r="U262" s="40"/>
      <c r="V262" s="48">
        <v>4500</v>
      </c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</row>
    <row r="263" spans="1:35" ht="13.5" customHeight="1" x14ac:dyDescent="0.25">
      <c r="A263" s="48">
        <v>120</v>
      </c>
      <c r="B263" s="176" t="s">
        <v>965</v>
      </c>
      <c r="C263" s="176" t="s">
        <v>962</v>
      </c>
      <c r="D263" s="150">
        <f t="shared" si="12"/>
        <v>5000</v>
      </c>
      <c r="E263" s="48"/>
      <c r="F263" s="48"/>
      <c r="G263" s="35"/>
      <c r="H263" s="35"/>
      <c r="I263" s="35"/>
      <c r="J263" s="35"/>
      <c r="K263" s="35"/>
      <c r="L263" s="35"/>
      <c r="M263" s="48"/>
      <c r="N263" s="48"/>
      <c r="O263" s="48"/>
      <c r="P263" s="48"/>
      <c r="Q263" s="48"/>
      <c r="R263" s="40"/>
      <c r="S263" s="40"/>
      <c r="T263" s="40"/>
      <c r="U263" s="40"/>
      <c r="V263" s="48">
        <v>5000</v>
      </c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</row>
    <row r="264" spans="1:35" ht="13.5" customHeight="1" x14ac:dyDescent="0.25">
      <c r="A264" s="48">
        <v>121</v>
      </c>
      <c r="B264" s="166" t="s">
        <v>278</v>
      </c>
      <c r="C264" s="166" t="s">
        <v>277</v>
      </c>
      <c r="D264" s="150">
        <f t="shared" si="12"/>
        <v>0</v>
      </c>
      <c r="E264" s="48"/>
      <c r="F264" s="48"/>
      <c r="G264" s="35"/>
      <c r="H264" s="35"/>
      <c r="I264" s="35"/>
      <c r="J264" s="35"/>
      <c r="K264" s="35"/>
      <c r="L264" s="35"/>
      <c r="M264" s="48"/>
      <c r="N264" s="48"/>
      <c r="O264" s="48"/>
      <c r="P264" s="48"/>
      <c r="Q264" s="48"/>
      <c r="R264" s="40"/>
      <c r="S264" s="40"/>
      <c r="T264" s="40"/>
      <c r="U264" s="40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</row>
    <row r="265" spans="1:35" ht="13.5" customHeight="1" x14ac:dyDescent="0.25">
      <c r="A265" s="48">
        <v>122</v>
      </c>
      <c r="B265" s="166" t="s">
        <v>919</v>
      </c>
      <c r="C265" s="166" t="s">
        <v>914</v>
      </c>
      <c r="D265" s="150">
        <f t="shared" si="12"/>
        <v>0</v>
      </c>
      <c r="E265" s="48"/>
      <c r="F265" s="48"/>
      <c r="G265" s="35"/>
      <c r="H265" s="35"/>
      <c r="I265" s="35"/>
      <c r="J265" s="35"/>
      <c r="K265" s="35"/>
      <c r="L265" s="35"/>
      <c r="M265" s="48"/>
      <c r="N265" s="48"/>
      <c r="O265" s="48"/>
      <c r="P265" s="48"/>
      <c r="Q265" s="48"/>
      <c r="R265" s="40"/>
      <c r="S265" s="40"/>
      <c r="T265" s="40"/>
      <c r="U265" s="40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</row>
    <row r="266" spans="1:35" ht="13.5" customHeight="1" x14ac:dyDescent="0.25">
      <c r="A266" s="48">
        <v>123</v>
      </c>
      <c r="B266" s="166" t="s">
        <v>920</v>
      </c>
      <c r="C266" s="166" t="s">
        <v>915</v>
      </c>
      <c r="D266" s="150">
        <f t="shared" si="12"/>
        <v>0</v>
      </c>
      <c r="E266" s="48"/>
      <c r="F266" s="48"/>
      <c r="G266" s="35"/>
      <c r="H266" s="35"/>
      <c r="I266" s="35"/>
      <c r="J266" s="35"/>
      <c r="K266" s="35"/>
      <c r="L266" s="35"/>
      <c r="M266" s="48"/>
      <c r="N266" s="48"/>
      <c r="O266" s="48"/>
      <c r="P266" s="48"/>
      <c r="Q266" s="48"/>
      <c r="R266" s="40"/>
      <c r="S266" s="40"/>
      <c r="T266" s="40"/>
      <c r="U266" s="40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</row>
    <row r="267" spans="1:35" ht="13.5" customHeight="1" x14ac:dyDescent="0.25">
      <c r="A267" s="48">
        <v>124</v>
      </c>
      <c r="B267" s="166" t="s">
        <v>921</v>
      </c>
      <c r="C267" s="166" t="s">
        <v>916</v>
      </c>
      <c r="D267" s="150">
        <f t="shared" si="12"/>
        <v>0</v>
      </c>
      <c r="E267" s="48"/>
      <c r="F267" s="48"/>
      <c r="G267" s="35"/>
      <c r="H267" s="35"/>
      <c r="I267" s="35"/>
      <c r="J267" s="35"/>
      <c r="K267" s="35"/>
      <c r="L267" s="35"/>
      <c r="M267" s="48"/>
      <c r="N267" s="48"/>
      <c r="O267" s="48"/>
      <c r="P267" s="48"/>
      <c r="Q267" s="48"/>
      <c r="R267" s="40"/>
      <c r="S267" s="40"/>
      <c r="T267" s="40"/>
      <c r="U267" s="40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</row>
    <row r="268" spans="1:35" ht="13.5" customHeight="1" x14ac:dyDescent="0.25">
      <c r="A268" s="48">
        <v>125</v>
      </c>
      <c r="B268" s="166" t="s">
        <v>922</v>
      </c>
      <c r="C268" s="166" t="s">
        <v>917</v>
      </c>
      <c r="D268" s="150">
        <f t="shared" si="12"/>
        <v>0</v>
      </c>
      <c r="E268" s="137"/>
      <c r="F268" s="48"/>
      <c r="G268" s="137"/>
      <c r="H268" s="137"/>
      <c r="I268" s="35"/>
      <c r="J268" s="137"/>
      <c r="K268" s="35"/>
      <c r="L268" s="137"/>
      <c r="M268" s="137"/>
      <c r="N268" s="48"/>
      <c r="O268" s="137"/>
      <c r="P268" s="137"/>
      <c r="Q268" s="48"/>
      <c r="R268" s="40"/>
      <c r="S268" s="40"/>
      <c r="T268" s="40"/>
      <c r="U268" s="137"/>
      <c r="V268" s="48"/>
      <c r="W268" s="137"/>
      <c r="X268" s="137"/>
      <c r="Y268" s="48"/>
      <c r="Z268" s="137"/>
      <c r="AA268" s="48"/>
      <c r="AB268" s="137"/>
      <c r="AC268" s="137"/>
      <c r="AD268" s="48"/>
      <c r="AE268" s="137"/>
      <c r="AF268" s="48"/>
      <c r="AG268" s="48"/>
      <c r="AH268" s="48"/>
      <c r="AI268" s="137"/>
    </row>
    <row r="269" spans="1:35" ht="13.5" customHeight="1" x14ac:dyDescent="0.25">
      <c r="A269" s="48">
        <v>126</v>
      </c>
      <c r="B269" s="166" t="s">
        <v>923</v>
      </c>
      <c r="C269" s="166" t="s">
        <v>918</v>
      </c>
      <c r="D269" s="150">
        <f t="shared" si="12"/>
        <v>8000</v>
      </c>
      <c r="E269" s="48"/>
      <c r="F269" s="48"/>
      <c r="G269" s="35"/>
      <c r="H269" s="35"/>
      <c r="I269" s="35"/>
      <c r="J269" s="35"/>
      <c r="K269" s="35"/>
      <c r="L269" s="35"/>
      <c r="M269" s="48"/>
      <c r="N269" s="48"/>
      <c r="O269" s="48"/>
      <c r="P269" s="48"/>
      <c r="Q269" s="48"/>
      <c r="R269" s="40"/>
      <c r="S269" s="40"/>
      <c r="T269" s="40"/>
      <c r="U269" s="40"/>
      <c r="V269" s="48"/>
      <c r="W269" s="48">
        <v>8000</v>
      </c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</row>
    <row r="270" spans="1:35" ht="13.5" customHeight="1" x14ac:dyDescent="0.25">
      <c r="A270" s="48">
        <v>127</v>
      </c>
      <c r="B270" s="166" t="s">
        <v>157</v>
      </c>
      <c r="C270" s="166" t="s">
        <v>108</v>
      </c>
      <c r="D270" s="150">
        <f t="shared" si="12"/>
        <v>1000</v>
      </c>
      <c r="E270" s="48"/>
      <c r="F270" s="48"/>
      <c r="G270" s="35"/>
      <c r="H270" s="35"/>
      <c r="I270" s="35"/>
      <c r="J270" s="35"/>
      <c r="K270" s="35"/>
      <c r="L270" s="35">
        <v>1000</v>
      </c>
      <c r="M270" s="48"/>
      <c r="N270" s="48"/>
      <c r="O270" s="48"/>
      <c r="P270" s="48"/>
      <c r="Q270" s="48"/>
      <c r="R270" s="40"/>
      <c r="S270" s="40"/>
      <c r="T270" s="40"/>
      <c r="U270" s="40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</row>
    <row r="271" spans="1:35" ht="13.5" customHeight="1" x14ac:dyDescent="0.25">
      <c r="A271" s="48">
        <v>128</v>
      </c>
      <c r="B271" s="176" t="s">
        <v>883</v>
      </c>
      <c r="C271" s="176" t="s">
        <v>882</v>
      </c>
      <c r="D271" s="150">
        <f t="shared" si="12"/>
        <v>3460</v>
      </c>
      <c r="E271" s="48"/>
      <c r="F271" s="48"/>
      <c r="G271" s="35"/>
      <c r="H271" s="35"/>
      <c r="I271" s="35"/>
      <c r="J271" s="35"/>
      <c r="K271" s="35"/>
      <c r="L271" s="35"/>
      <c r="M271" s="48"/>
      <c r="N271" s="48"/>
      <c r="O271" s="48"/>
      <c r="P271" s="48">
        <v>3460</v>
      </c>
      <c r="Q271" s="48"/>
      <c r="R271" s="40"/>
      <c r="S271" s="40"/>
      <c r="T271" s="40"/>
      <c r="U271" s="40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</row>
    <row r="272" spans="1:35" ht="13.5" customHeight="1" x14ac:dyDescent="0.25">
      <c r="A272" s="48">
        <v>129</v>
      </c>
      <c r="B272" s="176" t="s">
        <v>886</v>
      </c>
      <c r="C272" s="176" t="s">
        <v>884</v>
      </c>
      <c r="D272" s="150">
        <f t="shared" si="12"/>
        <v>0</v>
      </c>
      <c r="E272" s="48"/>
      <c r="F272" s="48"/>
      <c r="G272" s="35"/>
      <c r="H272" s="35"/>
      <c r="I272" s="35"/>
      <c r="J272" s="35"/>
      <c r="K272" s="35"/>
      <c r="L272" s="35"/>
      <c r="M272" s="48"/>
      <c r="N272" s="48"/>
      <c r="O272" s="48"/>
      <c r="P272" s="48"/>
      <c r="Q272" s="48"/>
      <c r="R272" s="40"/>
      <c r="S272" s="40"/>
      <c r="T272" s="40"/>
      <c r="U272" s="40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</row>
    <row r="273" spans="1:35" ht="13.5" customHeight="1" x14ac:dyDescent="0.25">
      <c r="A273" s="48">
        <v>130</v>
      </c>
      <c r="B273" s="176" t="s">
        <v>887</v>
      </c>
      <c r="C273" s="176" t="s">
        <v>885</v>
      </c>
      <c r="D273" s="150">
        <f t="shared" ref="D273:D302" si="13">SUM(E273:AI273)</f>
        <v>0</v>
      </c>
      <c r="E273" s="48"/>
      <c r="F273" s="48"/>
      <c r="G273" s="35"/>
      <c r="H273" s="35"/>
      <c r="I273" s="35"/>
      <c r="J273" s="35"/>
      <c r="K273" s="35"/>
      <c r="L273" s="35"/>
      <c r="M273" s="48"/>
      <c r="N273" s="48"/>
      <c r="O273" s="48"/>
      <c r="P273" s="48"/>
      <c r="Q273" s="48"/>
      <c r="R273" s="40"/>
      <c r="S273" s="40"/>
      <c r="T273" s="40"/>
      <c r="U273" s="40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</row>
    <row r="274" spans="1:35" ht="13.5" customHeight="1" x14ac:dyDescent="0.25">
      <c r="A274" s="48">
        <v>131</v>
      </c>
      <c r="B274" s="166" t="s">
        <v>158</v>
      </c>
      <c r="C274" s="166" t="s">
        <v>109</v>
      </c>
      <c r="D274" s="150">
        <f t="shared" si="13"/>
        <v>0</v>
      </c>
      <c r="E274" s="48"/>
      <c r="F274" s="48"/>
      <c r="G274" s="35"/>
      <c r="H274" s="35"/>
      <c r="I274" s="35"/>
      <c r="J274" s="35"/>
      <c r="K274" s="35"/>
      <c r="L274" s="35"/>
      <c r="M274" s="48"/>
      <c r="N274" s="48"/>
      <c r="O274" s="48"/>
      <c r="P274" s="48"/>
      <c r="Q274" s="48"/>
      <c r="R274" s="40"/>
      <c r="S274" s="40"/>
      <c r="T274" s="40"/>
      <c r="U274" s="40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</row>
    <row r="275" spans="1:35" ht="13.5" customHeight="1" x14ac:dyDescent="0.25">
      <c r="A275" s="48">
        <v>132</v>
      </c>
      <c r="B275" s="166" t="s">
        <v>715</v>
      </c>
      <c r="C275" s="166" t="s">
        <v>713</v>
      </c>
      <c r="D275" s="150">
        <f t="shared" si="13"/>
        <v>0</v>
      </c>
      <c r="E275" s="48"/>
      <c r="F275" s="48"/>
      <c r="G275" s="35"/>
      <c r="H275" s="35"/>
      <c r="I275" s="35"/>
      <c r="J275" s="35"/>
      <c r="K275" s="35"/>
      <c r="L275" s="35"/>
      <c r="M275" s="48"/>
      <c r="N275" s="48"/>
      <c r="O275" s="48"/>
      <c r="P275" s="48"/>
      <c r="Q275" s="48"/>
      <c r="R275" s="40"/>
      <c r="S275" s="40"/>
      <c r="T275" s="40"/>
      <c r="U275" s="40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</row>
    <row r="276" spans="1:35" ht="13.5" customHeight="1" x14ac:dyDescent="0.25">
      <c r="A276" s="48">
        <v>133</v>
      </c>
      <c r="B276" s="166" t="s">
        <v>716</v>
      </c>
      <c r="C276" s="166" t="s">
        <v>714</v>
      </c>
      <c r="D276" s="150">
        <f t="shared" si="13"/>
        <v>0</v>
      </c>
      <c r="E276" s="48"/>
      <c r="F276" s="48"/>
      <c r="G276" s="35"/>
      <c r="H276" s="35"/>
      <c r="I276" s="35"/>
      <c r="J276" s="35"/>
      <c r="K276" s="35"/>
      <c r="L276" s="35"/>
      <c r="M276" s="48"/>
      <c r="N276" s="48"/>
      <c r="O276" s="48"/>
      <c r="P276" s="48"/>
      <c r="Q276" s="48"/>
      <c r="R276" s="40"/>
      <c r="S276" s="40"/>
      <c r="T276" s="40"/>
      <c r="U276" s="40"/>
      <c r="V276" s="48"/>
      <c r="W276" s="155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</row>
    <row r="277" spans="1:35" ht="13.5" customHeight="1" x14ac:dyDescent="0.25">
      <c r="A277" s="48">
        <v>134</v>
      </c>
      <c r="B277" s="166" t="s">
        <v>718</v>
      </c>
      <c r="C277" s="166" t="s">
        <v>717</v>
      </c>
      <c r="D277" s="150">
        <f t="shared" si="13"/>
        <v>0</v>
      </c>
      <c r="E277" s="48"/>
      <c r="F277" s="48"/>
      <c r="G277" s="35"/>
      <c r="H277" s="35"/>
      <c r="I277" s="35"/>
      <c r="J277" s="35"/>
      <c r="K277" s="35"/>
      <c r="L277" s="35"/>
      <c r="M277" s="48"/>
      <c r="N277" s="48"/>
      <c r="O277" s="48"/>
      <c r="P277" s="48"/>
      <c r="Q277" s="48"/>
      <c r="R277" s="40"/>
      <c r="S277" s="40"/>
      <c r="T277" s="40"/>
      <c r="U277" s="40"/>
      <c r="V277" s="48"/>
      <c r="W277" s="155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</row>
    <row r="278" spans="1:35" ht="13.5" customHeight="1" x14ac:dyDescent="0.25">
      <c r="A278" s="48">
        <v>135</v>
      </c>
      <c r="B278" s="176" t="s">
        <v>1079</v>
      </c>
      <c r="C278" s="176" t="s">
        <v>1077</v>
      </c>
      <c r="D278" s="150">
        <f t="shared" si="13"/>
        <v>4800</v>
      </c>
      <c r="E278" s="137"/>
      <c r="F278" s="48"/>
      <c r="G278" s="137"/>
      <c r="H278" s="137"/>
      <c r="I278" s="35"/>
      <c r="J278" s="137"/>
      <c r="K278" s="35"/>
      <c r="L278" s="137"/>
      <c r="M278" s="137"/>
      <c r="N278" s="48"/>
      <c r="O278" s="137"/>
      <c r="P278" s="137"/>
      <c r="Q278" s="48"/>
      <c r="R278" s="40"/>
      <c r="S278" s="40"/>
      <c r="T278" s="40"/>
      <c r="U278" s="137"/>
      <c r="V278" s="48">
        <v>4800</v>
      </c>
      <c r="W278" s="155"/>
      <c r="X278" s="48"/>
      <c r="Y278" s="48"/>
      <c r="Z278" s="137"/>
      <c r="AA278" s="48"/>
      <c r="AB278" s="48"/>
      <c r="AC278" s="137"/>
      <c r="AD278" s="137"/>
      <c r="AE278" s="137"/>
      <c r="AF278" s="137"/>
      <c r="AG278" s="48"/>
      <c r="AH278" s="48"/>
      <c r="AI278" s="137"/>
    </row>
    <row r="279" spans="1:35" ht="13.5" customHeight="1" x14ac:dyDescent="0.25">
      <c r="A279" s="48">
        <v>136</v>
      </c>
      <c r="B279" s="176" t="s">
        <v>1080</v>
      </c>
      <c r="C279" s="176" t="s">
        <v>1078</v>
      </c>
      <c r="D279" s="150">
        <f t="shared" si="13"/>
        <v>3900</v>
      </c>
      <c r="E279" s="132"/>
      <c r="F279" s="48"/>
      <c r="G279" s="132"/>
      <c r="H279" s="132"/>
      <c r="I279" s="35"/>
      <c r="J279" s="132"/>
      <c r="K279" s="35"/>
      <c r="L279" s="132"/>
      <c r="M279" s="132"/>
      <c r="N279" s="48"/>
      <c r="O279" s="132"/>
      <c r="P279" s="132"/>
      <c r="Q279" s="48"/>
      <c r="R279" s="40"/>
      <c r="S279" s="40"/>
      <c r="T279" s="40"/>
      <c r="U279" s="132"/>
      <c r="V279" s="48">
        <v>3900</v>
      </c>
      <c r="W279" s="155"/>
      <c r="X279" s="48"/>
      <c r="Y279" s="48"/>
      <c r="Z279" s="132"/>
      <c r="AA279" s="48"/>
      <c r="AB279" s="48"/>
      <c r="AC279" s="132"/>
      <c r="AD279" s="132"/>
      <c r="AE279" s="155"/>
      <c r="AF279" s="132"/>
      <c r="AG279" s="48"/>
      <c r="AH279" s="48"/>
      <c r="AI279" s="132"/>
    </row>
    <row r="280" spans="1:35" ht="13.5" customHeight="1" x14ac:dyDescent="0.25">
      <c r="A280" s="48">
        <v>137</v>
      </c>
      <c r="B280" s="176" t="s">
        <v>1082</v>
      </c>
      <c r="C280" s="176" t="s">
        <v>1081</v>
      </c>
      <c r="D280" s="150">
        <f t="shared" si="13"/>
        <v>2800</v>
      </c>
      <c r="E280" s="48"/>
      <c r="F280" s="48"/>
      <c r="G280" s="35"/>
      <c r="H280" s="155"/>
      <c r="I280" s="35"/>
      <c r="J280" s="35"/>
      <c r="K280" s="35"/>
      <c r="L280" s="35"/>
      <c r="M280" s="48"/>
      <c r="N280" s="48"/>
      <c r="O280" s="48"/>
      <c r="P280" s="48"/>
      <c r="Q280" s="48"/>
      <c r="R280" s="40"/>
      <c r="S280" s="40"/>
      <c r="T280" s="40"/>
      <c r="U280" s="40"/>
      <c r="V280" s="48">
        <v>2800</v>
      </c>
      <c r="W280" s="155"/>
      <c r="X280" s="48"/>
      <c r="Y280" s="48"/>
      <c r="Z280" s="48"/>
      <c r="AA280" s="48"/>
      <c r="AB280" s="48"/>
      <c r="AC280" s="48"/>
      <c r="AD280" s="48"/>
      <c r="AE280" s="155"/>
      <c r="AF280" s="48"/>
      <c r="AG280" s="48"/>
      <c r="AH280" s="48"/>
      <c r="AI280" s="48"/>
    </row>
    <row r="281" spans="1:35" ht="13.5" customHeight="1" x14ac:dyDescent="0.25">
      <c r="A281" s="48">
        <v>138</v>
      </c>
      <c r="B281" s="166" t="s">
        <v>913</v>
      </c>
      <c r="C281" s="166" t="s">
        <v>912</v>
      </c>
      <c r="D281" s="150">
        <f t="shared" si="13"/>
        <v>0</v>
      </c>
      <c r="E281" s="48"/>
      <c r="F281" s="48"/>
      <c r="G281" s="35"/>
      <c r="H281" s="35"/>
      <c r="I281" s="35"/>
      <c r="J281" s="35"/>
      <c r="K281" s="35"/>
      <c r="L281" s="35"/>
      <c r="M281" s="48"/>
      <c r="N281" s="48"/>
      <c r="O281" s="48"/>
      <c r="P281" s="48"/>
      <c r="Q281" s="48"/>
      <c r="R281" s="40"/>
      <c r="S281" s="40"/>
      <c r="T281" s="40"/>
      <c r="U281" s="40"/>
      <c r="V281" s="48"/>
      <c r="W281" s="155"/>
      <c r="X281" s="48"/>
      <c r="Y281" s="48"/>
      <c r="Z281" s="48"/>
      <c r="AA281" s="48"/>
      <c r="AB281" s="48"/>
      <c r="AC281" s="48"/>
      <c r="AD281" s="48"/>
      <c r="AE281" s="155"/>
      <c r="AF281" s="48"/>
      <c r="AG281" s="48"/>
      <c r="AH281" s="48"/>
      <c r="AI281" s="48"/>
    </row>
    <row r="282" spans="1:35" ht="13.5" customHeight="1" x14ac:dyDescent="0.25">
      <c r="A282" s="48">
        <v>139</v>
      </c>
      <c r="B282" s="166" t="s">
        <v>802</v>
      </c>
      <c r="C282" s="166" t="s">
        <v>801</v>
      </c>
      <c r="D282" s="150">
        <f t="shared" si="13"/>
        <v>9000</v>
      </c>
      <c r="E282" s="137"/>
      <c r="F282" s="48"/>
      <c r="G282" s="137"/>
      <c r="H282" s="137"/>
      <c r="I282" s="35"/>
      <c r="J282" s="137"/>
      <c r="K282" s="35"/>
      <c r="L282" s="35">
        <v>9000</v>
      </c>
      <c r="M282" s="137"/>
      <c r="N282" s="48"/>
      <c r="O282" s="137"/>
      <c r="P282" s="137"/>
      <c r="Q282" s="48"/>
      <c r="R282" s="40"/>
      <c r="S282" s="40"/>
      <c r="T282" s="40"/>
      <c r="U282" s="137"/>
      <c r="V282" s="48"/>
      <c r="W282" s="155"/>
      <c r="X282" s="48"/>
      <c r="Y282" s="48"/>
      <c r="Z282" s="48"/>
      <c r="AA282" s="48"/>
      <c r="AB282" s="48"/>
      <c r="AC282" s="137"/>
      <c r="AD282" s="137"/>
      <c r="AE282" s="155"/>
      <c r="AF282" s="137"/>
      <c r="AG282" s="48"/>
      <c r="AH282" s="48"/>
      <c r="AI282" s="137"/>
    </row>
    <row r="283" spans="1:35" ht="13.5" customHeight="1" x14ac:dyDescent="0.25">
      <c r="A283" s="48">
        <v>140</v>
      </c>
      <c r="B283" s="166" t="s">
        <v>545</v>
      </c>
      <c r="C283" s="166" t="s">
        <v>544</v>
      </c>
      <c r="D283" s="150">
        <f t="shared" si="13"/>
        <v>380</v>
      </c>
      <c r="E283" s="48"/>
      <c r="F283" s="48"/>
      <c r="G283" s="35">
        <v>380</v>
      </c>
      <c r="H283" s="35"/>
      <c r="I283" s="35"/>
      <c r="J283" s="35"/>
      <c r="K283" s="35"/>
      <c r="L283" s="35"/>
      <c r="M283" s="48"/>
      <c r="N283" s="48"/>
      <c r="O283" s="48"/>
      <c r="P283" s="48"/>
      <c r="Q283" s="48"/>
      <c r="R283" s="40"/>
      <c r="S283" s="40"/>
      <c r="T283" s="40"/>
      <c r="U283" s="40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</row>
    <row r="284" spans="1:35" ht="13.5" customHeight="1" x14ac:dyDescent="0.25">
      <c r="A284" s="48">
        <v>141</v>
      </c>
      <c r="B284" s="166" t="s">
        <v>574</v>
      </c>
      <c r="C284" s="166" t="s">
        <v>572</v>
      </c>
      <c r="D284" s="150">
        <f t="shared" si="13"/>
        <v>780</v>
      </c>
      <c r="E284" s="48"/>
      <c r="F284" s="48"/>
      <c r="G284" s="35"/>
      <c r="H284" s="35"/>
      <c r="I284" s="35"/>
      <c r="J284" s="35">
        <v>780</v>
      </c>
      <c r="K284" s="35"/>
      <c r="L284" s="35"/>
      <c r="M284" s="48"/>
      <c r="N284" s="48"/>
      <c r="O284" s="48"/>
      <c r="P284" s="48"/>
      <c r="Q284" s="48"/>
      <c r="R284" s="40"/>
      <c r="S284" s="40"/>
      <c r="T284" s="40"/>
      <c r="U284" s="40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 spans="1:35" ht="13.5" customHeight="1" x14ac:dyDescent="0.25">
      <c r="A285" s="48">
        <v>142</v>
      </c>
      <c r="B285" s="166" t="s">
        <v>575</v>
      </c>
      <c r="C285" s="166" t="s">
        <v>573</v>
      </c>
      <c r="D285" s="150">
        <f t="shared" si="13"/>
        <v>1780</v>
      </c>
      <c r="E285" s="48"/>
      <c r="F285" s="48"/>
      <c r="G285" s="35"/>
      <c r="H285" s="35"/>
      <c r="I285" s="35"/>
      <c r="J285" s="35"/>
      <c r="K285" s="35">
        <v>1000</v>
      </c>
      <c r="L285" s="35"/>
      <c r="M285" s="48"/>
      <c r="N285" s="48"/>
      <c r="O285" s="48"/>
      <c r="P285" s="48"/>
      <c r="Q285" s="48"/>
      <c r="R285" s="40"/>
      <c r="S285" s="40"/>
      <c r="T285" s="40"/>
      <c r="U285" s="40"/>
      <c r="V285" s="48"/>
      <c r="W285" s="48"/>
      <c r="X285" s="48"/>
      <c r="Y285" s="48"/>
      <c r="Z285" s="48"/>
      <c r="AA285" s="48">
        <v>780</v>
      </c>
      <c r="AB285" s="48"/>
      <c r="AC285" s="48"/>
      <c r="AD285" s="48"/>
      <c r="AE285" s="48"/>
      <c r="AF285" s="48"/>
      <c r="AG285" s="48"/>
      <c r="AH285" s="48"/>
      <c r="AI285" s="48"/>
    </row>
    <row r="286" spans="1:35" ht="13.5" customHeight="1" x14ac:dyDescent="0.25">
      <c r="A286" s="48">
        <v>143</v>
      </c>
      <c r="B286" s="166" t="s">
        <v>1010</v>
      </c>
      <c r="C286" s="166" t="s">
        <v>1005</v>
      </c>
      <c r="D286" s="150">
        <f t="shared" si="13"/>
        <v>3000</v>
      </c>
      <c r="E286" s="137"/>
      <c r="F286" s="48"/>
      <c r="G286" s="137"/>
      <c r="H286" s="137"/>
      <c r="I286" s="35"/>
      <c r="J286" s="137"/>
      <c r="K286" s="35">
        <v>3000</v>
      </c>
      <c r="L286" s="35"/>
      <c r="M286" s="48"/>
      <c r="N286" s="48"/>
      <c r="O286" s="48"/>
      <c r="P286" s="137"/>
      <c r="Q286" s="48"/>
      <c r="R286" s="40"/>
      <c r="S286" s="40"/>
      <c r="T286" s="40"/>
      <c r="U286" s="137"/>
      <c r="V286" s="48"/>
      <c r="W286" s="137"/>
      <c r="X286" s="48"/>
      <c r="Y286" s="48"/>
      <c r="Z286" s="137"/>
      <c r="AA286" s="48"/>
      <c r="AB286" s="48"/>
      <c r="AC286" s="48"/>
      <c r="AD286" s="48"/>
      <c r="AE286" s="137"/>
      <c r="AF286" s="137"/>
      <c r="AG286" s="48"/>
      <c r="AH286" s="137"/>
      <c r="AI286" s="137"/>
    </row>
    <row r="287" spans="1:35" ht="13.5" customHeight="1" x14ac:dyDescent="0.25">
      <c r="A287" s="48">
        <v>144</v>
      </c>
      <c r="B287" s="166" t="s">
        <v>1011</v>
      </c>
      <c r="C287" s="166" t="s">
        <v>1006</v>
      </c>
      <c r="D287" s="150">
        <f t="shared" si="13"/>
        <v>780</v>
      </c>
      <c r="E287" s="48"/>
      <c r="F287" s="48"/>
      <c r="G287" s="35"/>
      <c r="H287" s="35"/>
      <c r="I287" s="35"/>
      <c r="J287" s="35"/>
      <c r="K287" s="35">
        <v>780</v>
      </c>
      <c r="L287" s="35"/>
      <c r="M287" s="48"/>
      <c r="N287" s="48"/>
      <c r="O287" s="48"/>
      <c r="P287" s="48"/>
      <c r="Q287" s="48"/>
      <c r="R287" s="40"/>
      <c r="S287" s="40"/>
      <c r="T287" s="40"/>
      <c r="U287" s="40"/>
      <c r="V287" s="48"/>
      <c r="W287" s="155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</row>
    <row r="288" spans="1:35" ht="13.5" customHeight="1" x14ac:dyDescent="0.25">
      <c r="A288" s="48">
        <v>145</v>
      </c>
      <c r="B288" s="166" t="s">
        <v>1012</v>
      </c>
      <c r="C288" s="166" t="s">
        <v>1007</v>
      </c>
      <c r="D288" s="150">
        <f t="shared" si="13"/>
        <v>1000</v>
      </c>
      <c r="E288" s="48"/>
      <c r="F288" s="48"/>
      <c r="G288" s="35"/>
      <c r="H288" s="35"/>
      <c r="I288" s="35"/>
      <c r="J288" s="35"/>
      <c r="K288" s="35">
        <v>1000</v>
      </c>
      <c r="L288" s="35"/>
      <c r="M288" s="48"/>
      <c r="N288" s="48"/>
      <c r="O288" s="48"/>
      <c r="P288" s="48"/>
      <c r="Q288" s="48"/>
      <c r="R288" s="40"/>
      <c r="S288" s="40"/>
      <c r="T288" s="40"/>
      <c r="U288" s="40"/>
      <c r="V288" s="48"/>
      <c r="W288" s="155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</row>
    <row r="289" spans="1:35" ht="13.5" customHeight="1" x14ac:dyDescent="0.25">
      <c r="A289" s="48">
        <v>146</v>
      </c>
      <c r="B289" s="166" t="s">
        <v>1013</v>
      </c>
      <c r="C289" s="166" t="s">
        <v>1008</v>
      </c>
      <c r="D289" s="150">
        <f t="shared" si="13"/>
        <v>1180</v>
      </c>
      <c r="E289" s="137"/>
      <c r="F289" s="48"/>
      <c r="G289" s="137"/>
      <c r="H289" s="137"/>
      <c r="I289" s="35"/>
      <c r="J289" s="137"/>
      <c r="K289" s="35">
        <v>1180</v>
      </c>
      <c r="L289" s="35"/>
      <c r="M289" s="48"/>
      <c r="N289" s="48"/>
      <c r="O289" s="48"/>
      <c r="P289" s="137"/>
      <c r="Q289" s="48"/>
      <c r="R289" s="40"/>
      <c r="S289" s="40"/>
      <c r="T289" s="40"/>
      <c r="U289" s="137"/>
      <c r="V289" s="48"/>
      <c r="W289" s="155"/>
      <c r="X289" s="48"/>
      <c r="Y289" s="48"/>
      <c r="Z289" s="137"/>
      <c r="AA289" s="48"/>
      <c r="AB289" s="48"/>
      <c r="AC289" s="137"/>
      <c r="AD289" s="48"/>
      <c r="AE289" s="137"/>
      <c r="AF289" s="137"/>
      <c r="AG289" s="48"/>
      <c r="AH289" s="137"/>
      <c r="AI289" s="137"/>
    </row>
    <row r="290" spans="1:35" ht="13.5" customHeight="1" x14ac:dyDescent="0.25">
      <c r="A290" s="48">
        <v>147</v>
      </c>
      <c r="B290" s="166" t="s">
        <v>1014</v>
      </c>
      <c r="C290" s="166" t="s">
        <v>1009</v>
      </c>
      <c r="D290" s="150">
        <f t="shared" si="13"/>
        <v>280</v>
      </c>
      <c r="E290" s="48"/>
      <c r="F290" s="48"/>
      <c r="G290" s="35"/>
      <c r="H290" s="35"/>
      <c r="I290" s="35"/>
      <c r="J290" s="35"/>
      <c r="K290" s="35">
        <v>280</v>
      </c>
      <c r="L290" s="35"/>
      <c r="M290" s="48"/>
      <c r="N290" s="48"/>
      <c r="O290" s="48"/>
      <c r="P290" s="48"/>
      <c r="Q290" s="48"/>
      <c r="R290" s="40"/>
      <c r="S290" s="40"/>
      <c r="T290" s="40"/>
      <c r="U290" s="40"/>
      <c r="V290" s="48"/>
      <c r="W290" s="155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</row>
    <row r="291" spans="1:35" ht="13.5" customHeight="1" x14ac:dyDescent="0.25">
      <c r="A291" s="48">
        <v>148</v>
      </c>
      <c r="B291" s="166" t="s">
        <v>1016</v>
      </c>
      <c r="C291" s="166" t="s">
        <v>1015</v>
      </c>
      <c r="D291" s="150">
        <f t="shared" si="13"/>
        <v>100</v>
      </c>
      <c r="E291" s="48"/>
      <c r="F291" s="48"/>
      <c r="G291" s="35"/>
      <c r="H291" s="35"/>
      <c r="I291" s="35"/>
      <c r="J291" s="35"/>
      <c r="K291" s="35">
        <v>100</v>
      </c>
      <c r="L291" s="35"/>
      <c r="M291" s="48"/>
      <c r="N291" s="48"/>
      <c r="O291" s="48"/>
      <c r="P291" s="48"/>
      <c r="Q291" s="48"/>
      <c r="R291" s="40"/>
      <c r="S291" s="40"/>
      <c r="T291" s="40"/>
      <c r="U291" s="40"/>
      <c r="V291" s="48"/>
      <c r="W291" s="155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</row>
    <row r="292" spans="1:35" ht="13.5" customHeight="1" x14ac:dyDescent="0.25">
      <c r="A292" s="48">
        <v>149</v>
      </c>
      <c r="B292" s="166" t="s">
        <v>577</v>
      </c>
      <c r="C292" s="166" t="s">
        <v>576</v>
      </c>
      <c r="D292" s="150">
        <f t="shared" si="13"/>
        <v>6800</v>
      </c>
      <c r="E292" s="137"/>
      <c r="F292" s="48"/>
      <c r="G292" s="137"/>
      <c r="H292" s="137"/>
      <c r="I292" s="35"/>
      <c r="J292" s="35">
        <v>3000</v>
      </c>
      <c r="K292" s="35"/>
      <c r="L292" s="35"/>
      <c r="M292" s="48"/>
      <c r="N292" s="48"/>
      <c r="O292" s="48"/>
      <c r="P292" s="137"/>
      <c r="Q292" s="48"/>
      <c r="R292" s="40"/>
      <c r="S292" s="40"/>
      <c r="T292" s="40"/>
      <c r="U292" s="137"/>
      <c r="V292" s="48"/>
      <c r="W292" s="155"/>
      <c r="X292" s="48"/>
      <c r="Y292" s="48"/>
      <c r="Z292" s="48"/>
      <c r="AA292" s="48"/>
      <c r="AB292" s="48"/>
      <c r="AC292" s="137"/>
      <c r="AD292" s="48"/>
      <c r="AE292" s="48"/>
      <c r="AF292" s="48">
        <v>3800</v>
      </c>
      <c r="AG292" s="48"/>
      <c r="AH292" s="137"/>
      <c r="AI292" s="137"/>
    </row>
    <row r="293" spans="1:35" ht="13.5" customHeight="1" x14ac:dyDescent="0.25">
      <c r="A293" s="48">
        <v>150</v>
      </c>
      <c r="B293" s="166" t="s">
        <v>1018</v>
      </c>
      <c r="C293" s="166" t="s">
        <v>1017</v>
      </c>
      <c r="D293" s="150">
        <f t="shared" si="13"/>
        <v>100</v>
      </c>
      <c r="E293" s="48"/>
      <c r="F293" s="48"/>
      <c r="G293" s="35"/>
      <c r="H293" s="35"/>
      <c r="I293" s="35"/>
      <c r="J293" s="35"/>
      <c r="K293" s="35">
        <v>100</v>
      </c>
      <c r="L293" s="35"/>
      <c r="M293" s="48"/>
      <c r="N293" s="48"/>
      <c r="O293" s="48"/>
      <c r="P293" s="48"/>
      <c r="Q293" s="48"/>
      <c r="R293" s="40"/>
      <c r="S293" s="40"/>
      <c r="T293" s="40"/>
      <c r="U293" s="40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</row>
    <row r="294" spans="1:35" ht="13.5" customHeight="1" x14ac:dyDescent="0.25">
      <c r="A294" s="48">
        <v>151</v>
      </c>
      <c r="B294" s="166" t="s">
        <v>563</v>
      </c>
      <c r="C294" s="166" t="s">
        <v>558</v>
      </c>
      <c r="D294" s="150">
        <f t="shared" si="13"/>
        <v>120</v>
      </c>
      <c r="E294" s="48"/>
      <c r="F294" s="48"/>
      <c r="G294" s="35"/>
      <c r="H294" s="35"/>
      <c r="I294" s="35"/>
      <c r="J294" s="35"/>
      <c r="K294" s="35"/>
      <c r="L294" s="35"/>
      <c r="M294" s="48"/>
      <c r="N294" s="48"/>
      <c r="O294" s="48"/>
      <c r="P294" s="48"/>
      <c r="Q294" s="48"/>
      <c r="R294" s="40"/>
      <c r="S294" s="40"/>
      <c r="T294" s="40"/>
      <c r="U294" s="40"/>
      <c r="V294" s="48"/>
      <c r="W294" s="48"/>
      <c r="X294" s="48"/>
      <c r="Y294" s="48"/>
      <c r="Z294" s="48">
        <v>120</v>
      </c>
      <c r="AA294" s="48"/>
      <c r="AB294" s="48"/>
      <c r="AC294" s="48"/>
      <c r="AD294" s="48"/>
      <c r="AE294" s="48"/>
      <c r="AF294" s="48"/>
      <c r="AG294" s="48"/>
      <c r="AH294" s="48"/>
      <c r="AI294" s="48"/>
    </row>
    <row r="295" spans="1:35" ht="13.5" customHeight="1" x14ac:dyDescent="0.25">
      <c r="A295" s="48">
        <v>152</v>
      </c>
      <c r="B295" s="166" t="s">
        <v>564</v>
      </c>
      <c r="C295" s="166" t="s">
        <v>559</v>
      </c>
      <c r="D295" s="150">
        <f t="shared" si="13"/>
        <v>700</v>
      </c>
      <c r="E295" s="137"/>
      <c r="F295" s="48"/>
      <c r="G295" s="35">
        <v>700</v>
      </c>
      <c r="H295" s="137"/>
      <c r="I295" s="35"/>
      <c r="J295" s="137"/>
      <c r="K295" s="35"/>
      <c r="L295" s="35"/>
      <c r="M295" s="48"/>
      <c r="N295" s="48"/>
      <c r="O295" s="48"/>
      <c r="P295" s="48"/>
      <c r="Q295" s="48"/>
      <c r="R295" s="40"/>
      <c r="S295" s="40"/>
      <c r="T295" s="40"/>
      <c r="U295" s="40"/>
      <c r="V295" s="48"/>
      <c r="W295" s="137"/>
      <c r="X295" s="48"/>
      <c r="Y295" s="48"/>
      <c r="Z295" s="137"/>
      <c r="AA295" s="48"/>
      <c r="AB295" s="48"/>
      <c r="AC295" s="137"/>
      <c r="AD295" s="48"/>
      <c r="AE295" s="137"/>
      <c r="AF295" s="137"/>
      <c r="AG295" s="48"/>
      <c r="AH295" s="137"/>
      <c r="AI295" s="137"/>
    </row>
    <row r="296" spans="1:35" ht="13.5" customHeight="1" x14ac:dyDescent="0.25">
      <c r="A296" s="48">
        <v>153</v>
      </c>
      <c r="B296" s="166" t="s">
        <v>565</v>
      </c>
      <c r="C296" s="166" t="s">
        <v>560</v>
      </c>
      <c r="D296" s="150">
        <f t="shared" si="13"/>
        <v>100</v>
      </c>
      <c r="E296" s="48"/>
      <c r="F296" s="48"/>
      <c r="G296" s="35">
        <v>100</v>
      </c>
      <c r="H296" s="35"/>
      <c r="I296" s="35"/>
      <c r="J296" s="35"/>
      <c r="K296" s="35"/>
      <c r="L296" s="35"/>
      <c r="M296" s="48"/>
      <c r="N296" s="48"/>
      <c r="O296" s="48"/>
      <c r="P296" s="48"/>
      <c r="Q296" s="48"/>
      <c r="R296" s="40"/>
      <c r="S296" s="40"/>
      <c r="T296" s="40"/>
      <c r="U296" s="40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</row>
    <row r="297" spans="1:35" ht="13.5" customHeight="1" x14ac:dyDescent="0.25">
      <c r="A297" s="48">
        <v>154</v>
      </c>
      <c r="B297" s="176" t="s">
        <v>1220</v>
      </c>
      <c r="C297" s="176" t="s">
        <v>1219</v>
      </c>
      <c r="D297" s="150">
        <f t="shared" si="13"/>
        <v>10000</v>
      </c>
      <c r="E297" s="48"/>
      <c r="F297" s="48"/>
      <c r="G297" s="35"/>
      <c r="H297" s="35"/>
      <c r="I297" s="35"/>
      <c r="J297" s="35"/>
      <c r="K297" s="35"/>
      <c r="L297" s="35"/>
      <c r="M297" s="48"/>
      <c r="N297" s="48"/>
      <c r="O297" s="48"/>
      <c r="P297" s="48"/>
      <c r="Q297" s="48"/>
      <c r="R297" s="40"/>
      <c r="S297" s="40"/>
      <c r="T297" s="40"/>
      <c r="U297" s="40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>
        <v>10000</v>
      </c>
      <c r="AG297" s="48"/>
      <c r="AH297" s="48"/>
      <c r="AI297" s="48"/>
    </row>
    <row r="298" spans="1:35" ht="13.5" customHeight="1" x14ac:dyDescent="0.25">
      <c r="A298" s="48">
        <v>155</v>
      </c>
      <c r="B298" s="166" t="s">
        <v>566</v>
      </c>
      <c r="C298" s="166" t="s">
        <v>561</v>
      </c>
      <c r="D298" s="150">
        <f t="shared" si="13"/>
        <v>2120</v>
      </c>
      <c r="E298" s="137"/>
      <c r="F298" s="48"/>
      <c r="G298" s="137"/>
      <c r="H298" s="35"/>
      <c r="I298" s="35"/>
      <c r="J298" s="35">
        <v>320</v>
      </c>
      <c r="K298" s="35"/>
      <c r="L298" s="35"/>
      <c r="M298" s="48"/>
      <c r="N298" s="48"/>
      <c r="O298" s="48"/>
      <c r="P298" s="48"/>
      <c r="Q298" s="48"/>
      <c r="R298" s="40"/>
      <c r="S298" s="40"/>
      <c r="T298" s="40"/>
      <c r="U298" s="40"/>
      <c r="V298" s="48"/>
      <c r="W298" s="137"/>
      <c r="X298" s="48"/>
      <c r="Y298" s="48"/>
      <c r="Z298" s="137"/>
      <c r="AA298" s="48">
        <v>1800</v>
      </c>
      <c r="AB298" s="48"/>
      <c r="AC298" s="48"/>
      <c r="AD298" s="48"/>
      <c r="AE298" s="137"/>
      <c r="AF298" s="48"/>
      <c r="AG298" s="48"/>
      <c r="AH298" s="137"/>
      <c r="AI298" s="137"/>
    </row>
    <row r="299" spans="1:35" ht="13.5" customHeight="1" x14ac:dyDescent="0.25">
      <c r="A299" s="48">
        <v>156</v>
      </c>
      <c r="B299" s="166" t="s">
        <v>567</v>
      </c>
      <c r="C299" s="166" t="s">
        <v>562</v>
      </c>
      <c r="D299" s="150">
        <f t="shared" si="13"/>
        <v>0</v>
      </c>
      <c r="E299" s="48"/>
      <c r="F299" s="48"/>
      <c r="G299" s="35"/>
      <c r="H299" s="35"/>
      <c r="I299" s="35"/>
      <c r="J299" s="35"/>
      <c r="K299" s="35"/>
      <c r="L299" s="35"/>
      <c r="M299" s="48"/>
      <c r="N299" s="48"/>
      <c r="O299" s="48"/>
      <c r="P299" s="48"/>
      <c r="Q299" s="48"/>
      <c r="R299" s="40"/>
      <c r="S299" s="40"/>
      <c r="T299" s="40"/>
      <c r="U299" s="40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</row>
    <row r="300" spans="1:35" ht="13.5" customHeight="1" x14ac:dyDescent="0.25">
      <c r="A300" s="48">
        <v>157</v>
      </c>
      <c r="B300" s="166" t="s">
        <v>410</v>
      </c>
      <c r="C300" s="166" t="s">
        <v>409</v>
      </c>
      <c r="D300" s="150">
        <f t="shared" si="13"/>
        <v>0</v>
      </c>
      <c r="E300" s="48"/>
      <c r="F300" s="48"/>
      <c r="G300" s="35"/>
      <c r="H300" s="35"/>
      <c r="I300" s="35"/>
      <c r="J300" s="35"/>
      <c r="K300" s="35"/>
      <c r="L300" s="35"/>
      <c r="M300" s="48"/>
      <c r="N300" s="48"/>
      <c r="O300" s="48"/>
      <c r="P300" s="48"/>
      <c r="Q300" s="48"/>
      <c r="R300" s="40"/>
      <c r="S300" s="40"/>
      <c r="T300" s="40"/>
      <c r="U300" s="40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</row>
    <row r="301" spans="1:35" ht="13.5" customHeight="1" x14ac:dyDescent="0.25">
      <c r="A301" s="48">
        <v>158</v>
      </c>
      <c r="B301" s="166" t="s">
        <v>412</v>
      </c>
      <c r="C301" s="166" t="s">
        <v>411</v>
      </c>
      <c r="D301" s="150">
        <f t="shared" si="13"/>
        <v>15610</v>
      </c>
      <c r="E301" s="48"/>
      <c r="F301" s="48"/>
      <c r="G301" s="35">
        <v>7000</v>
      </c>
      <c r="H301" s="35"/>
      <c r="I301" s="35"/>
      <c r="J301" s="35">
        <v>7000</v>
      </c>
      <c r="K301" s="35"/>
      <c r="L301" s="35"/>
      <c r="M301" s="48"/>
      <c r="N301" s="48"/>
      <c r="O301" s="48"/>
      <c r="P301" s="48"/>
      <c r="Q301" s="48"/>
      <c r="R301" s="40"/>
      <c r="S301" s="40"/>
      <c r="T301" s="40"/>
      <c r="U301" s="40"/>
      <c r="V301" s="48"/>
      <c r="W301" s="48"/>
      <c r="X301" s="48"/>
      <c r="Y301" s="48"/>
      <c r="Z301" s="48"/>
      <c r="AA301" s="48">
        <v>1610</v>
      </c>
      <c r="AB301" s="48"/>
      <c r="AC301" s="48"/>
      <c r="AD301" s="48"/>
      <c r="AE301" s="48"/>
      <c r="AF301" s="48"/>
      <c r="AG301" s="48"/>
      <c r="AH301" s="48"/>
      <c r="AI301" s="48"/>
    </row>
    <row r="302" spans="1:35" ht="13.5" customHeight="1" x14ac:dyDescent="0.25">
      <c r="A302" s="48">
        <v>159</v>
      </c>
      <c r="B302" s="166" t="s">
        <v>768</v>
      </c>
      <c r="C302" s="166" t="s">
        <v>767</v>
      </c>
      <c r="D302" s="150">
        <f t="shared" si="13"/>
        <v>500</v>
      </c>
      <c r="E302" s="48"/>
      <c r="F302" s="48"/>
      <c r="G302" s="35"/>
      <c r="H302" s="35"/>
      <c r="I302" s="35"/>
      <c r="J302" s="35"/>
      <c r="K302" s="35"/>
      <c r="L302" s="35"/>
      <c r="M302" s="48"/>
      <c r="N302" s="48"/>
      <c r="O302" s="48"/>
      <c r="P302" s="48"/>
      <c r="Q302" s="48"/>
      <c r="R302" s="40"/>
      <c r="S302" s="40"/>
      <c r="T302" s="40"/>
      <c r="U302" s="40"/>
      <c r="V302" s="48"/>
      <c r="W302" s="48"/>
      <c r="X302" s="48">
        <v>500</v>
      </c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</row>
    <row r="303" spans="1:35" ht="13.5" customHeight="1" x14ac:dyDescent="0.25">
      <c r="A303" s="141" t="s">
        <v>140</v>
      </c>
      <c r="B303" s="33" t="s">
        <v>124</v>
      </c>
      <c r="C303" s="141" t="s">
        <v>141</v>
      </c>
      <c r="D303" s="145">
        <f t="shared" ref="D303:AI303" si="14">SUM(D304:D335)</f>
        <v>354252</v>
      </c>
      <c r="E303" s="145">
        <f t="shared" si="14"/>
        <v>0</v>
      </c>
      <c r="F303" s="145">
        <f t="shared" si="14"/>
        <v>0</v>
      </c>
      <c r="G303" s="145">
        <f t="shared" si="14"/>
        <v>0</v>
      </c>
      <c r="H303" s="145">
        <f t="shared" si="14"/>
        <v>62260</v>
      </c>
      <c r="I303" s="145">
        <f t="shared" si="14"/>
        <v>30000</v>
      </c>
      <c r="J303" s="145">
        <f t="shared" si="14"/>
        <v>8792</v>
      </c>
      <c r="K303" s="145">
        <f t="shared" si="14"/>
        <v>0</v>
      </c>
      <c r="L303" s="145">
        <f t="shared" si="14"/>
        <v>45500</v>
      </c>
      <c r="M303" s="145">
        <f t="shared" si="14"/>
        <v>50000</v>
      </c>
      <c r="N303" s="145">
        <f t="shared" si="14"/>
        <v>80000</v>
      </c>
      <c r="O303" s="145">
        <f t="shared" si="14"/>
        <v>0</v>
      </c>
      <c r="P303" s="145">
        <f t="shared" si="14"/>
        <v>2000</v>
      </c>
      <c r="Q303" s="145">
        <f t="shared" si="14"/>
        <v>4000</v>
      </c>
      <c r="R303" s="145">
        <f t="shared" si="14"/>
        <v>0</v>
      </c>
      <c r="S303" s="145">
        <f t="shared" si="14"/>
        <v>0</v>
      </c>
      <c r="T303" s="145">
        <f t="shared" si="14"/>
        <v>0</v>
      </c>
      <c r="U303" s="40">
        <f t="shared" si="14"/>
        <v>0</v>
      </c>
      <c r="V303" s="145">
        <f t="shared" si="14"/>
        <v>900</v>
      </c>
      <c r="W303" s="145">
        <f t="shared" si="14"/>
        <v>59500</v>
      </c>
      <c r="X303" s="48">
        <f t="shared" si="14"/>
        <v>0</v>
      </c>
      <c r="Y303" s="48">
        <f t="shared" si="14"/>
        <v>0</v>
      </c>
      <c r="Z303" s="145">
        <f t="shared" si="14"/>
        <v>0</v>
      </c>
      <c r="AA303" s="145">
        <f t="shared" si="14"/>
        <v>1500</v>
      </c>
      <c r="AB303" s="48">
        <f t="shared" si="14"/>
        <v>0</v>
      </c>
      <c r="AC303" s="48">
        <f t="shared" si="14"/>
        <v>1000</v>
      </c>
      <c r="AD303" s="145">
        <f t="shared" si="14"/>
        <v>0</v>
      </c>
      <c r="AE303" s="145">
        <f t="shared" si="14"/>
        <v>8800</v>
      </c>
      <c r="AF303" s="48">
        <f t="shared" si="14"/>
        <v>0</v>
      </c>
      <c r="AG303" s="145">
        <f t="shared" si="14"/>
        <v>0</v>
      </c>
      <c r="AH303" s="145">
        <f t="shared" si="14"/>
        <v>0</v>
      </c>
      <c r="AI303" s="145">
        <f t="shared" si="14"/>
        <v>0</v>
      </c>
    </row>
    <row r="304" spans="1:35" ht="13.5" customHeight="1" x14ac:dyDescent="0.25">
      <c r="A304" s="48">
        <v>1</v>
      </c>
      <c r="B304" s="166" t="s">
        <v>839</v>
      </c>
      <c r="C304" s="166" t="s">
        <v>838</v>
      </c>
      <c r="D304" s="150">
        <f t="shared" ref="D304:D335" si="15">SUM(E304:AI304)</f>
        <v>900</v>
      </c>
      <c r="E304" s="137"/>
      <c r="F304" s="48"/>
      <c r="G304" s="137"/>
      <c r="H304" s="137"/>
      <c r="I304" s="137"/>
      <c r="J304" s="137"/>
      <c r="K304" s="35"/>
      <c r="L304" s="35"/>
      <c r="M304" s="137"/>
      <c r="N304" s="137"/>
      <c r="O304" s="48"/>
      <c r="P304" s="48"/>
      <c r="Q304" s="48"/>
      <c r="R304" s="40"/>
      <c r="S304" s="40"/>
      <c r="T304" s="40"/>
      <c r="U304" s="40"/>
      <c r="V304" s="48">
        <v>900</v>
      </c>
      <c r="W304" s="137"/>
      <c r="X304" s="48"/>
      <c r="Y304" s="48"/>
      <c r="Z304" s="48"/>
      <c r="AA304" s="48"/>
      <c r="AB304" s="48"/>
      <c r="AC304" s="48"/>
      <c r="AD304" s="48"/>
      <c r="AE304" s="137"/>
      <c r="AF304" s="48"/>
      <c r="AG304" s="48"/>
      <c r="AH304" s="137"/>
      <c r="AI304" s="137"/>
    </row>
    <row r="305" spans="1:35" ht="13.5" customHeight="1" x14ac:dyDescent="0.25">
      <c r="A305" s="48">
        <v>2</v>
      </c>
      <c r="B305" s="166" t="s">
        <v>972</v>
      </c>
      <c r="C305" s="166" t="s">
        <v>971</v>
      </c>
      <c r="D305" s="150">
        <f t="shared" si="15"/>
        <v>50000</v>
      </c>
      <c r="E305" s="48"/>
      <c r="F305" s="48"/>
      <c r="G305" s="137"/>
      <c r="H305" s="35">
        <v>20000</v>
      </c>
      <c r="I305" s="35"/>
      <c r="J305" s="137"/>
      <c r="K305" s="35"/>
      <c r="L305" s="35"/>
      <c r="M305" s="137"/>
      <c r="N305" s="48">
        <v>30000</v>
      </c>
      <c r="O305" s="48"/>
      <c r="P305" s="48"/>
      <c r="Q305" s="48"/>
      <c r="R305" s="40"/>
      <c r="S305" s="40"/>
      <c r="T305" s="40"/>
      <c r="U305" s="40"/>
      <c r="V305" s="48"/>
      <c r="W305" s="48"/>
      <c r="X305" s="48"/>
      <c r="Y305" s="48"/>
      <c r="Z305" s="48"/>
      <c r="AA305" s="48"/>
      <c r="AB305" s="48"/>
      <c r="AC305" s="48"/>
      <c r="AD305" s="48"/>
      <c r="AE305" s="137"/>
      <c r="AF305" s="48"/>
      <c r="AG305" s="48"/>
      <c r="AH305" s="137"/>
      <c r="AI305" s="137"/>
    </row>
    <row r="306" spans="1:35" s="37" customFormat="1" ht="13.5" customHeight="1" x14ac:dyDescent="0.25">
      <c r="A306" s="48">
        <v>3</v>
      </c>
      <c r="B306" s="175" t="s">
        <v>847</v>
      </c>
      <c r="C306" s="175" t="s">
        <v>846</v>
      </c>
      <c r="D306" s="150">
        <f t="shared" si="15"/>
        <v>0</v>
      </c>
      <c r="E306" s="132"/>
      <c r="F306" s="48"/>
      <c r="G306" s="132"/>
      <c r="H306" s="132"/>
      <c r="I306" s="35"/>
      <c r="J306" s="132"/>
      <c r="K306" s="132"/>
      <c r="L306" s="35"/>
      <c r="M306" s="132"/>
      <c r="N306" s="132"/>
      <c r="O306" s="48"/>
      <c r="P306" s="132"/>
      <c r="Q306" s="48"/>
      <c r="R306" s="40"/>
      <c r="S306" s="40"/>
      <c r="T306" s="40"/>
      <c r="U306" s="40"/>
      <c r="V306" s="48"/>
      <c r="W306" s="132"/>
      <c r="X306" s="48"/>
      <c r="Y306" s="48"/>
      <c r="Z306" s="132"/>
      <c r="AA306" s="48"/>
      <c r="AB306" s="48"/>
      <c r="AC306" s="48"/>
      <c r="AD306" s="48"/>
      <c r="AE306" s="132"/>
      <c r="AF306" s="48"/>
      <c r="AG306" s="48"/>
      <c r="AH306" s="132"/>
      <c r="AI306" s="132"/>
    </row>
    <row r="307" spans="1:35" ht="13.5" customHeight="1" x14ac:dyDescent="0.25">
      <c r="A307" s="48">
        <v>4</v>
      </c>
      <c r="B307" s="166" t="s">
        <v>232</v>
      </c>
      <c r="C307" s="166" t="s">
        <v>231</v>
      </c>
      <c r="D307" s="150">
        <f t="shared" si="15"/>
        <v>2920</v>
      </c>
      <c r="E307" s="48"/>
      <c r="F307" s="48"/>
      <c r="G307" s="35"/>
      <c r="H307" s="35">
        <v>2920</v>
      </c>
      <c r="I307" s="35"/>
      <c r="J307" s="35"/>
      <c r="K307" s="35"/>
      <c r="L307" s="35"/>
      <c r="M307" s="48"/>
      <c r="N307" s="48"/>
      <c r="O307" s="48"/>
      <c r="P307" s="48"/>
      <c r="Q307" s="48"/>
      <c r="R307" s="40"/>
      <c r="S307" s="40"/>
      <c r="T307" s="40"/>
      <c r="U307" s="40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</row>
    <row r="308" spans="1:35" ht="13.5" customHeight="1" x14ac:dyDescent="0.25">
      <c r="A308" s="48">
        <v>5</v>
      </c>
      <c r="B308" s="175" t="s">
        <v>867</v>
      </c>
      <c r="C308" s="175" t="s">
        <v>866</v>
      </c>
      <c r="D308" s="150">
        <f t="shared" si="15"/>
        <v>0</v>
      </c>
      <c r="E308" s="48"/>
      <c r="F308" s="48"/>
      <c r="G308" s="35"/>
      <c r="H308" s="35"/>
      <c r="I308" s="35"/>
      <c r="J308" s="35"/>
      <c r="K308" s="35"/>
      <c r="L308" s="35"/>
      <c r="M308" s="48"/>
      <c r="N308" s="48"/>
      <c r="O308" s="48"/>
      <c r="P308" s="48"/>
      <c r="Q308" s="48"/>
      <c r="R308" s="40"/>
      <c r="S308" s="40"/>
      <c r="T308" s="40"/>
      <c r="U308" s="40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</row>
    <row r="309" spans="1:35" ht="13.5" customHeight="1" x14ac:dyDescent="0.25">
      <c r="A309" s="48">
        <v>6</v>
      </c>
      <c r="B309" s="176" t="s">
        <v>996</v>
      </c>
      <c r="C309" s="176" t="s">
        <v>995</v>
      </c>
      <c r="D309" s="150">
        <f t="shared" si="15"/>
        <v>56</v>
      </c>
      <c r="E309" s="48"/>
      <c r="F309" s="48"/>
      <c r="G309" s="35"/>
      <c r="H309" s="35"/>
      <c r="I309" s="35"/>
      <c r="J309" s="35">
        <v>56</v>
      </c>
      <c r="K309" s="35"/>
      <c r="L309" s="35"/>
      <c r="M309" s="48"/>
      <c r="N309" s="48"/>
      <c r="O309" s="48"/>
      <c r="P309" s="48"/>
      <c r="Q309" s="48"/>
      <c r="R309" s="40"/>
      <c r="S309" s="40"/>
      <c r="T309" s="40"/>
      <c r="U309" s="40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</row>
    <row r="310" spans="1:35" ht="13.5" customHeight="1" x14ac:dyDescent="0.25">
      <c r="A310" s="48">
        <v>7</v>
      </c>
      <c r="B310" s="176" t="s">
        <v>998</v>
      </c>
      <c r="C310" s="176" t="s">
        <v>997</v>
      </c>
      <c r="D310" s="150">
        <f t="shared" si="15"/>
        <v>3900</v>
      </c>
      <c r="E310" s="48"/>
      <c r="F310" s="48"/>
      <c r="G310" s="35"/>
      <c r="H310" s="35"/>
      <c r="I310" s="35"/>
      <c r="J310" s="35">
        <v>1300</v>
      </c>
      <c r="K310" s="35"/>
      <c r="L310" s="35">
        <v>2600</v>
      </c>
      <c r="M310" s="48"/>
      <c r="N310" s="48"/>
      <c r="O310" s="48"/>
      <c r="P310" s="48"/>
      <c r="Q310" s="48"/>
      <c r="R310" s="40"/>
      <c r="S310" s="40"/>
      <c r="T310" s="40"/>
      <c r="U310" s="40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</row>
    <row r="311" spans="1:35" ht="13.5" customHeight="1" x14ac:dyDescent="0.25">
      <c r="A311" s="48">
        <v>8</v>
      </c>
      <c r="B311" s="166" t="s">
        <v>414</v>
      </c>
      <c r="C311" s="166" t="s">
        <v>413</v>
      </c>
      <c r="D311" s="150">
        <f t="shared" si="15"/>
        <v>2000</v>
      </c>
      <c r="E311" s="48"/>
      <c r="F311" s="48"/>
      <c r="G311" s="35"/>
      <c r="H311" s="35"/>
      <c r="I311" s="35"/>
      <c r="J311" s="35"/>
      <c r="K311" s="35"/>
      <c r="L311" s="35">
        <v>2000</v>
      </c>
      <c r="M311" s="48"/>
      <c r="N311" s="48"/>
      <c r="O311" s="48"/>
      <c r="P311" s="48"/>
      <c r="Q311" s="48"/>
      <c r="R311" s="40"/>
      <c r="S311" s="40"/>
      <c r="T311" s="40"/>
      <c r="U311" s="40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</row>
    <row r="312" spans="1:35" ht="13.5" customHeight="1" x14ac:dyDescent="0.25">
      <c r="A312" s="48">
        <v>9</v>
      </c>
      <c r="B312" s="176" t="s">
        <v>1062</v>
      </c>
      <c r="C312" s="176" t="s">
        <v>1061</v>
      </c>
      <c r="D312" s="150">
        <f t="shared" si="15"/>
        <v>4000</v>
      </c>
      <c r="E312" s="48"/>
      <c r="F312" s="48"/>
      <c r="G312" s="35"/>
      <c r="H312" s="35"/>
      <c r="I312" s="35"/>
      <c r="J312" s="35"/>
      <c r="K312" s="35"/>
      <c r="L312" s="35"/>
      <c r="M312" s="48"/>
      <c r="N312" s="48"/>
      <c r="O312" s="48"/>
      <c r="P312" s="48"/>
      <c r="Q312" s="48">
        <v>4000</v>
      </c>
      <c r="R312" s="40"/>
      <c r="S312" s="40"/>
      <c r="T312" s="40"/>
      <c r="U312" s="40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</row>
    <row r="313" spans="1:35" ht="13.5" customHeight="1" x14ac:dyDescent="0.25">
      <c r="A313" s="48">
        <v>10</v>
      </c>
      <c r="B313" s="166" t="s">
        <v>447</v>
      </c>
      <c r="C313" s="166" t="s">
        <v>446</v>
      </c>
      <c r="D313" s="150">
        <f t="shared" si="15"/>
        <v>10900</v>
      </c>
      <c r="E313" s="48"/>
      <c r="F313" s="48"/>
      <c r="G313" s="35"/>
      <c r="H313" s="35"/>
      <c r="I313" s="35"/>
      <c r="J313" s="35"/>
      <c r="K313" s="35"/>
      <c r="L313" s="35">
        <v>10900</v>
      </c>
      <c r="M313" s="48"/>
      <c r="N313" s="48"/>
      <c r="O313" s="48"/>
      <c r="P313" s="48"/>
      <c r="Q313" s="48"/>
      <c r="R313" s="40"/>
      <c r="S313" s="40"/>
      <c r="T313" s="40"/>
      <c r="U313" s="40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</row>
    <row r="314" spans="1:35" ht="13.5" customHeight="1" x14ac:dyDescent="0.25">
      <c r="A314" s="48">
        <v>11</v>
      </c>
      <c r="B314" s="175" t="s">
        <v>871</v>
      </c>
      <c r="C314" s="175" t="s">
        <v>870</v>
      </c>
      <c r="D314" s="150">
        <f t="shared" si="15"/>
        <v>0</v>
      </c>
      <c r="E314" s="48"/>
      <c r="F314" s="48"/>
      <c r="G314" s="35"/>
      <c r="H314" s="35"/>
      <c r="I314" s="35"/>
      <c r="J314" s="35"/>
      <c r="K314" s="35"/>
      <c r="L314" s="35"/>
      <c r="M314" s="48"/>
      <c r="N314" s="48"/>
      <c r="O314" s="48"/>
      <c r="P314" s="48"/>
      <c r="Q314" s="48"/>
      <c r="R314" s="40"/>
      <c r="S314" s="40"/>
      <c r="T314" s="40"/>
      <c r="U314" s="40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</row>
    <row r="315" spans="1:35" ht="13.5" customHeight="1" x14ac:dyDescent="0.25">
      <c r="A315" s="48">
        <v>12</v>
      </c>
      <c r="B315" s="176" t="s">
        <v>1056</v>
      </c>
      <c r="C315" s="176" t="s">
        <v>1055</v>
      </c>
      <c r="D315" s="150">
        <f t="shared" si="15"/>
        <v>2000</v>
      </c>
      <c r="E315" s="48"/>
      <c r="F315" s="48"/>
      <c r="G315" s="35"/>
      <c r="H315" s="35"/>
      <c r="I315" s="35"/>
      <c r="J315" s="35"/>
      <c r="K315" s="35"/>
      <c r="L315" s="35"/>
      <c r="M315" s="48"/>
      <c r="N315" s="48"/>
      <c r="O315" s="48"/>
      <c r="P315" s="48">
        <v>2000</v>
      </c>
      <c r="Q315" s="48"/>
      <c r="R315" s="40"/>
      <c r="S315" s="40"/>
      <c r="T315" s="40"/>
      <c r="U315" s="40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</row>
    <row r="316" spans="1:35" ht="13.5" customHeight="1" x14ac:dyDescent="0.25">
      <c r="A316" s="48">
        <v>13</v>
      </c>
      <c r="B316" s="166" t="s">
        <v>262</v>
      </c>
      <c r="C316" s="166" t="s">
        <v>261</v>
      </c>
      <c r="D316" s="150">
        <f t="shared" si="15"/>
        <v>246000</v>
      </c>
      <c r="E316" s="48"/>
      <c r="F316" s="48"/>
      <c r="G316" s="35"/>
      <c r="H316" s="35">
        <v>30000</v>
      </c>
      <c r="I316" s="35">
        <v>30000</v>
      </c>
      <c r="J316" s="35">
        <v>6000</v>
      </c>
      <c r="K316" s="35"/>
      <c r="L316" s="35">
        <v>30000</v>
      </c>
      <c r="M316" s="48">
        <v>50000</v>
      </c>
      <c r="N316" s="48">
        <v>50000</v>
      </c>
      <c r="O316" s="48"/>
      <c r="P316" s="48"/>
      <c r="Q316" s="48"/>
      <c r="R316" s="40"/>
      <c r="S316" s="40"/>
      <c r="T316" s="40"/>
      <c r="U316" s="40"/>
      <c r="V316" s="48"/>
      <c r="W316" s="48">
        <v>50000</v>
      </c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</row>
    <row r="317" spans="1:35" ht="13.5" customHeight="1" x14ac:dyDescent="0.25">
      <c r="A317" s="48">
        <v>14</v>
      </c>
      <c r="B317" s="166" t="s">
        <v>338</v>
      </c>
      <c r="C317" s="166" t="s">
        <v>337</v>
      </c>
      <c r="D317" s="150">
        <f t="shared" si="15"/>
        <v>7000</v>
      </c>
      <c r="E317" s="48"/>
      <c r="F317" s="48"/>
      <c r="G317" s="35"/>
      <c r="H317" s="35">
        <v>7000</v>
      </c>
      <c r="I317" s="35"/>
      <c r="J317" s="35"/>
      <c r="K317" s="35"/>
      <c r="L317" s="35"/>
      <c r="M317" s="48"/>
      <c r="N317" s="48"/>
      <c r="O317" s="48"/>
      <c r="P317" s="48"/>
      <c r="Q317" s="48"/>
      <c r="R317" s="40"/>
      <c r="S317" s="40"/>
      <c r="T317" s="40"/>
      <c r="U317" s="40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</row>
    <row r="318" spans="1:35" ht="13.5" customHeight="1" x14ac:dyDescent="0.25">
      <c r="A318" s="48">
        <v>15</v>
      </c>
      <c r="B318" s="176" t="s">
        <v>1152</v>
      </c>
      <c r="C318" s="176" t="s">
        <v>1151</v>
      </c>
      <c r="D318" s="150">
        <f t="shared" si="15"/>
        <v>500</v>
      </c>
      <c r="E318" s="48"/>
      <c r="F318" s="48"/>
      <c r="G318" s="35"/>
      <c r="H318" s="35"/>
      <c r="I318" s="35"/>
      <c r="J318" s="35"/>
      <c r="K318" s="35"/>
      <c r="L318" s="35"/>
      <c r="M318" s="48"/>
      <c r="N318" s="48"/>
      <c r="O318" s="48"/>
      <c r="P318" s="48"/>
      <c r="Q318" s="48"/>
      <c r="R318" s="40"/>
      <c r="S318" s="40"/>
      <c r="T318" s="40"/>
      <c r="U318" s="40"/>
      <c r="V318" s="48"/>
      <c r="W318" s="48"/>
      <c r="X318" s="48"/>
      <c r="Y318" s="48"/>
      <c r="Z318" s="48"/>
      <c r="AA318" s="48">
        <v>500</v>
      </c>
      <c r="AB318" s="48"/>
      <c r="AC318" s="48"/>
      <c r="AD318" s="48"/>
      <c r="AE318" s="48"/>
      <c r="AF318" s="48"/>
      <c r="AG318" s="48"/>
      <c r="AH318" s="48"/>
      <c r="AI318" s="48"/>
    </row>
    <row r="319" spans="1:35" ht="13.5" customHeight="1" x14ac:dyDescent="0.25">
      <c r="A319" s="48">
        <v>16</v>
      </c>
      <c r="B319" s="176" t="s">
        <v>1155</v>
      </c>
      <c r="C319" s="176" t="s">
        <v>1153</v>
      </c>
      <c r="D319" s="150">
        <f t="shared" si="15"/>
        <v>500</v>
      </c>
      <c r="E319" s="48"/>
      <c r="F319" s="48"/>
      <c r="G319" s="35"/>
      <c r="H319" s="35"/>
      <c r="I319" s="35"/>
      <c r="J319" s="35"/>
      <c r="K319" s="35"/>
      <c r="L319" s="35"/>
      <c r="M319" s="48"/>
      <c r="N319" s="48"/>
      <c r="O319" s="48"/>
      <c r="P319" s="48"/>
      <c r="Q319" s="48"/>
      <c r="R319" s="40"/>
      <c r="S319" s="40"/>
      <c r="T319" s="40"/>
      <c r="U319" s="40"/>
      <c r="V319" s="48"/>
      <c r="W319" s="48"/>
      <c r="X319" s="48"/>
      <c r="Y319" s="48"/>
      <c r="Z319" s="48"/>
      <c r="AA319" s="48">
        <v>500</v>
      </c>
      <c r="AB319" s="48"/>
      <c r="AC319" s="48"/>
      <c r="AD319" s="48"/>
      <c r="AE319" s="48"/>
      <c r="AF319" s="48"/>
      <c r="AG319" s="48"/>
      <c r="AH319" s="48"/>
      <c r="AI319" s="48"/>
    </row>
    <row r="320" spans="1:35" ht="13.5" customHeight="1" x14ac:dyDescent="0.25">
      <c r="A320" s="48">
        <v>17</v>
      </c>
      <c r="B320" s="176" t="s">
        <v>1183</v>
      </c>
      <c r="C320" s="176" t="s">
        <v>1181</v>
      </c>
      <c r="D320" s="150">
        <f t="shared" si="15"/>
        <v>4900</v>
      </c>
      <c r="E320" s="48"/>
      <c r="F320" s="48"/>
      <c r="G320" s="35"/>
      <c r="H320" s="35"/>
      <c r="I320" s="35"/>
      <c r="J320" s="35"/>
      <c r="K320" s="35"/>
      <c r="L320" s="35"/>
      <c r="M320" s="48"/>
      <c r="N320" s="48"/>
      <c r="O320" s="48"/>
      <c r="P320" s="48"/>
      <c r="Q320" s="48"/>
      <c r="R320" s="40"/>
      <c r="S320" s="40"/>
      <c r="T320" s="40"/>
      <c r="U320" s="40"/>
      <c r="V320" s="48"/>
      <c r="W320" s="48"/>
      <c r="X320" s="48"/>
      <c r="Y320" s="48"/>
      <c r="Z320" s="48"/>
      <c r="AA320" s="48"/>
      <c r="AB320" s="48"/>
      <c r="AC320" s="48">
        <v>500</v>
      </c>
      <c r="AD320" s="48"/>
      <c r="AE320" s="48">
        <v>4400</v>
      </c>
      <c r="AF320" s="48"/>
      <c r="AG320" s="48"/>
      <c r="AH320" s="48"/>
      <c r="AI320" s="48"/>
    </row>
    <row r="321" spans="1:35" ht="13.5" customHeight="1" x14ac:dyDescent="0.25">
      <c r="A321" s="48">
        <v>18</v>
      </c>
      <c r="B321" s="176" t="s">
        <v>1184</v>
      </c>
      <c r="C321" s="176" t="s">
        <v>1182</v>
      </c>
      <c r="D321" s="150">
        <f t="shared" si="15"/>
        <v>4900</v>
      </c>
      <c r="E321" s="48"/>
      <c r="F321" s="48"/>
      <c r="G321" s="35"/>
      <c r="H321" s="35"/>
      <c r="I321" s="35"/>
      <c r="J321" s="35"/>
      <c r="K321" s="35"/>
      <c r="L321" s="35"/>
      <c r="M321" s="48"/>
      <c r="N321" s="48"/>
      <c r="O321" s="48"/>
      <c r="P321" s="48"/>
      <c r="Q321" s="48"/>
      <c r="R321" s="40"/>
      <c r="S321" s="40"/>
      <c r="T321" s="40"/>
      <c r="U321" s="40"/>
      <c r="V321" s="48"/>
      <c r="W321" s="48"/>
      <c r="X321" s="48"/>
      <c r="Y321" s="48"/>
      <c r="Z321" s="48"/>
      <c r="AA321" s="48"/>
      <c r="AB321" s="48"/>
      <c r="AC321" s="48">
        <v>500</v>
      </c>
      <c r="AD321" s="48"/>
      <c r="AE321" s="48">
        <v>4400</v>
      </c>
      <c r="AF321" s="48"/>
      <c r="AG321" s="48"/>
      <c r="AH321" s="48"/>
      <c r="AI321" s="48"/>
    </row>
    <row r="322" spans="1:35" ht="13.5" customHeight="1" x14ac:dyDescent="0.25">
      <c r="A322" s="48">
        <v>19</v>
      </c>
      <c r="B322" s="176" t="s">
        <v>1156</v>
      </c>
      <c r="C322" s="176" t="s">
        <v>1154</v>
      </c>
      <c r="D322" s="150">
        <f t="shared" si="15"/>
        <v>500</v>
      </c>
      <c r="E322" s="48"/>
      <c r="F322" s="48"/>
      <c r="G322" s="35"/>
      <c r="H322" s="35"/>
      <c r="I322" s="35"/>
      <c r="J322" s="35"/>
      <c r="K322" s="35"/>
      <c r="L322" s="35"/>
      <c r="M322" s="48"/>
      <c r="N322" s="48"/>
      <c r="O322" s="48"/>
      <c r="P322" s="48"/>
      <c r="Q322" s="48"/>
      <c r="R322" s="40"/>
      <c r="S322" s="40"/>
      <c r="T322" s="40"/>
      <c r="U322" s="40"/>
      <c r="V322" s="48"/>
      <c r="W322" s="48"/>
      <c r="X322" s="48"/>
      <c r="Y322" s="48"/>
      <c r="Z322" s="48"/>
      <c r="AA322" s="48">
        <v>500</v>
      </c>
      <c r="AB322" s="48"/>
      <c r="AC322" s="48"/>
      <c r="AD322" s="48"/>
      <c r="AE322" s="48"/>
      <c r="AF322" s="48"/>
      <c r="AG322" s="48"/>
      <c r="AH322" s="48"/>
      <c r="AI322" s="48"/>
    </row>
    <row r="323" spans="1:35" ht="13.5" customHeight="1" x14ac:dyDescent="0.25">
      <c r="A323" s="48">
        <v>20</v>
      </c>
      <c r="B323" s="166" t="s">
        <v>728</v>
      </c>
      <c r="C323" s="166" t="s">
        <v>727</v>
      </c>
      <c r="D323" s="150">
        <f t="shared" si="15"/>
        <v>0</v>
      </c>
      <c r="E323" s="48"/>
      <c r="F323" s="48"/>
      <c r="G323" s="35"/>
      <c r="H323" s="35"/>
      <c r="I323" s="35"/>
      <c r="J323" s="35"/>
      <c r="K323" s="35"/>
      <c r="L323" s="35"/>
      <c r="M323" s="48"/>
      <c r="N323" s="48"/>
      <c r="O323" s="48"/>
      <c r="P323" s="48"/>
      <c r="Q323" s="48"/>
      <c r="R323" s="40"/>
      <c r="S323" s="40"/>
      <c r="T323" s="40"/>
      <c r="U323" s="40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</row>
    <row r="324" spans="1:35" ht="13.5" customHeight="1" x14ac:dyDescent="0.25">
      <c r="A324" s="48">
        <v>21</v>
      </c>
      <c r="B324" s="166" t="s">
        <v>732</v>
      </c>
      <c r="C324" s="166" t="s">
        <v>729</v>
      </c>
      <c r="D324" s="150">
        <f t="shared" si="15"/>
        <v>0</v>
      </c>
      <c r="E324" s="48"/>
      <c r="F324" s="48"/>
      <c r="G324" s="35"/>
      <c r="H324" s="35"/>
      <c r="I324" s="35"/>
      <c r="J324" s="35"/>
      <c r="K324" s="35"/>
      <c r="L324" s="35"/>
      <c r="M324" s="48"/>
      <c r="N324" s="48"/>
      <c r="O324" s="48"/>
      <c r="P324" s="48"/>
      <c r="Q324" s="48"/>
      <c r="R324" s="40"/>
      <c r="S324" s="40"/>
      <c r="T324" s="40"/>
      <c r="U324" s="40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</row>
    <row r="325" spans="1:35" ht="13.5" customHeight="1" x14ac:dyDescent="0.25">
      <c r="A325" s="48">
        <v>22</v>
      </c>
      <c r="B325" s="166" t="s">
        <v>733</v>
      </c>
      <c r="C325" s="166" t="s">
        <v>730</v>
      </c>
      <c r="D325" s="150">
        <f t="shared" si="15"/>
        <v>0</v>
      </c>
      <c r="E325" s="48"/>
      <c r="F325" s="48"/>
      <c r="G325" s="35"/>
      <c r="H325" s="35"/>
      <c r="I325" s="35"/>
      <c r="J325" s="35"/>
      <c r="K325" s="35"/>
      <c r="L325" s="35"/>
      <c r="M325" s="48"/>
      <c r="N325" s="48"/>
      <c r="O325" s="48"/>
      <c r="P325" s="48"/>
      <c r="Q325" s="48"/>
      <c r="R325" s="40"/>
      <c r="S325" s="40"/>
      <c r="T325" s="40"/>
      <c r="U325" s="40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</row>
    <row r="326" spans="1:35" ht="13.5" customHeight="1" x14ac:dyDescent="0.25">
      <c r="A326" s="48">
        <v>23</v>
      </c>
      <c r="B326" s="166" t="s">
        <v>734</v>
      </c>
      <c r="C326" s="166" t="s">
        <v>731</v>
      </c>
      <c r="D326" s="150">
        <f t="shared" si="15"/>
        <v>1436</v>
      </c>
      <c r="E326" s="48"/>
      <c r="F326" s="48"/>
      <c r="G326" s="35"/>
      <c r="H326" s="35"/>
      <c r="I326" s="35"/>
      <c r="J326" s="35">
        <v>1436</v>
      </c>
      <c r="K326" s="35"/>
      <c r="L326" s="35"/>
      <c r="M326" s="48"/>
      <c r="N326" s="48"/>
      <c r="O326" s="48"/>
      <c r="P326" s="48"/>
      <c r="Q326" s="48"/>
      <c r="R326" s="40"/>
      <c r="S326" s="40"/>
      <c r="T326" s="40"/>
      <c r="U326" s="40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</row>
    <row r="327" spans="1:35" ht="13.5" customHeight="1" x14ac:dyDescent="0.25">
      <c r="A327" s="48">
        <v>24</v>
      </c>
      <c r="B327" s="176" t="s">
        <v>978</v>
      </c>
      <c r="C327" s="176" t="s">
        <v>977</v>
      </c>
      <c r="D327" s="150">
        <f t="shared" si="15"/>
        <v>1320</v>
      </c>
      <c r="E327" s="48"/>
      <c r="F327" s="48"/>
      <c r="G327" s="35"/>
      <c r="H327" s="35">
        <v>1320</v>
      </c>
      <c r="I327" s="35"/>
      <c r="J327" s="35"/>
      <c r="K327" s="35"/>
      <c r="L327" s="35"/>
      <c r="M327" s="48"/>
      <c r="N327" s="48"/>
      <c r="O327" s="48"/>
      <c r="P327" s="48"/>
      <c r="Q327" s="48"/>
      <c r="R327" s="40"/>
      <c r="S327" s="40"/>
      <c r="T327" s="40"/>
      <c r="U327" s="40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</row>
    <row r="328" spans="1:35" ht="13.5" customHeight="1" x14ac:dyDescent="0.25">
      <c r="A328" s="48">
        <v>25</v>
      </c>
      <c r="B328" s="176" t="s">
        <v>982</v>
      </c>
      <c r="C328" s="176" t="s">
        <v>979</v>
      </c>
      <c r="D328" s="150">
        <f t="shared" si="15"/>
        <v>200</v>
      </c>
      <c r="E328" s="48"/>
      <c r="F328" s="48"/>
      <c r="G328" s="35"/>
      <c r="H328" s="35">
        <v>200</v>
      </c>
      <c r="I328" s="35"/>
      <c r="J328" s="35"/>
      <c r="K328" s="35"/>
      <c r="L328" s="35"/>
      <c r="M328" s="48"/>
      <c r="N328" s="48"/>
      <c r="O328" s="48"/>
      <c r="P328" s="48"/>
      <c r="Q328" s="48"/>
      <c r="R328" s="40"/>
      <c r="S328" s="40"/>
      <c r="T328" s="40"/>
      <c r="U328" s="40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</row>
    <row r="329" spans="1:35" ht="13.5" customHeight="1" x14ac:dyDescent="0.25">
      <c r="A329" s="48">
        <v>26</v>
      </c>
      <c r="B329" s="176" t="s">
        <v>983</v>
      </c>
      <c r="C329" s="176" t="s">
        <v>980</v>
      </c>
      <c r="D329" s="150">
        <f t="shared" si="15"/>
        <v>200</v>
      </c>
      <c r="E329" s="137"/>
      <c r="F329" s="48"/>
      <c r="G329" s="137"/>
      <c r="H329" s="35">
        <v>200</v>
      </c>
      <c r="I329" s="35"/>
      <c r="J329" s="137"/>
      <c r="K329" s="137"/>
      <c r="L329" s="35"/>
      <c r="M329" s="137"/>
      <c r="N329" s="137"/>
      <c r="O329" s="48"/>
      <c r="P329" s="137"/>
      <c r="Q329" s="48"/>
      <c r="R329" s="40"/>
      <c r="S329" s="40"/>
      <c r="T329" s="40"/>
      <c r="U329" s="40"/>
      <c r="V329" s="48"/>
      <c r="W329" s="137"/>
      <c r="X329" s="48"/>
      <c r="Y329" s="48"/>
      <c r="Z329" s="137"/>
      <c r="AA329" s="48"/>
      <c r="AB329" s="48"/>
      <c r="AC329" s="48"/>
      <c r="AD329" s="48"/>
      <c r="AE329" s="137"/>
      <c r="AF329" s="48"/>
      <c r="AG329" s="48"/>
      <c r="AH329" s="137"/>
      <c r="AI329" s="137"/>
    </row>
    <row r="330" spans="1:35" ht="13.5" customHeight="1" x14ac:dyDescent="0.25">
      <c r="A330" s="48">
        <v>27</v>
      </c>
      <c r="B330" s="176" t="s">
        <v>1229</v>
      </c>
      <c r="C330" s="176" t="s">
        <v>1228</v>
      </c>
      <c r="D330" s="150">
        <f t="shared" si="15"/>
        <v>0</v>
      </c>
      <c r="E330" s="137"/>
      <c r="F330" s="48"/>
      <c r="G330" s="137"/>
      <c r="H330" s="35"/>
      <c r="I330" s="35"/>
      <c r="J330" s="137"/>
      <c r="K330" s="137"/>
      <c r="L330" s="35"/>
      <c r="M330" s="137"/>
      <c r="N330" s="137"/>
      <c r="O330" s="48"/>
      <c r="P330" s="137"/>
      <c r="Q330" s="48"/>
      <c r="R330" s="40"/>
      <c r="S330" s="40"/>
      <c r="T330" s="40"/>
      <c r="U330" s="40"/>
      <c r="V330" s="48"/>
      <c r="W330" s="137"/>
      <c r="X330" s="48"/>
      <c r="Y330" s="48"/>
      <c r="Z330" s="137"/>
      <c r="AA330" s="48"/>
      <c r="AB330" s="48"/>
      <c r="AC330" s="48"/>
      <c r="AD330" s="48"/>
      <c r="AE330" s="137"/>
      <c r="AF330" s="48"/>
      <c r="AG330" s="48"/>
      <c r="AH330" s="137"/>
      <c r="AI330" s="137"/>
    </row>
    <row r="331" spans="1:35" ht="12.75" customHeight="1" x14ac:dyDescent="0.25">
      <c r="A331" s="48">
        <v>28</v>
      </c>
      <c r="B331" s="176" t="s">
        <v>984</v>
      </c>
      <c r="C331" s="176" t="s">
        <v>981</v>
      </c>
      <c r="D331" s="150">
        <f t="shared" si="15"/>
        <v>100</v>
      </c>
      <c r="E331" s="48"/>
      <c r="F331" s="48"/>
      <c r="G331" s="35"/>
      <c r="H331" s="35">
        <v>100</v>
      </c>
      <c r="I331" s="35"/>
      <c r="J331" s="35"/>
      <c r="K331" s="35"/>
      <c r="L331" s="35"/>
      <c r="M331" s="48"/>
      <c r="N331" s="48"/>
      <c r="O331" s="48"/>
      <c r="P331" s="48"/>
      <c r="Q331" s="48"/>
      <c r="R331" s="40"/>
      <c r="S331" s="40"/>
      <c r="T331" s="40"/>
      <c r="U331" s="40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</row>
    <row r="332" spans="1:35" x14ac:dyDescent="0.25">
      <c r="A332" s="48">
        <v>29</v>
      </c>
      <c r="B332" s="166" t="s">
        <v>326</v>
      </c>
      <c r="C332" s="166" t="s">
        <v>325</v>
      </c>
      <c r="D332" s="150">
        <f t="shared" si="15"/>
        <v>520</v>
      </c>
      <c r="E332" s="49"/>
      <c r="F332" s="48"/>
      <c r="G332" s="49"/>
      <c r="H332" s="35">
        <v>520</v>
      </c>
      <c r="I332" s="35"/>
      <c r="J332" s="49"/>
      <c r="K332" s="49"/>
      <c r="L332" s="35"/>
      <c r="M332" s="49"/>
      <c r="N332" s="49"/>
      <c r="O332" s="48"/>
      <c r="P332" s="49"/>
      <c r="Q332" s="48"/>
      <c r="R332" s="40"/>
      <c r="S332" s="40"/>
      <c r="T332" s="40"/>
      <c r="U332" s="49"/>
      <c r="V332" s="48"/>
      <c r="W332" s="49"/>
      <c r="X332" s="48"/>
      <c r="Y332" s="48"/>
      <c r="Z332" s="49"/>
      <c r="AA332" s="48"/>
      <c r="AB332" s="48"/>
      <c r="AC332" s="48"/>
      <c r="AD332" s="49"/>
      <c r="AE332" s="49"/>
      <c r="AF332" s="35"/>
      <c r="AG332" s="48"/>
      <c r="AH332" s="49"/>
      <c r="AI332" s="49"/>
    </row>
    <row r="333" spans="1:35" x14ac:dyDescent="0.25">
      <c r="A333" s="48">
        <v>30</v>
      </c>
      <c r="B333" s="176" t="s">
        <v>1090</v>
      </c>
      <c r="C333" s="176" t="s">
        <v>1089</v>
      </c>
      <c r="D333" s="150">
        <f t="shared" si="15"/>
        <v>2000</v>
      </c>
      <c r="E333" s="49"/>
      <c r="F333" s="48"/>
      <c r="G333" s="49"/>
      <c r="H333" s="35"/>
      <c r="I333" s="35"/>
      <c r="J333" s="49"/>
      <c r="K333" s="49"/>
      <c r="L333" s="35"/>
      <c r="M333" s="49"/>
      <c r="N333" s="49"/>
      <c r="O333" s="48"/>
      <c r="P333" s="49"/>
      <c r="Q333" s="48"/>
      <c r="R333" s="40"/>
      <c r="S333" s="40"/>
      <c r="T333" s="40"/>
      <c r="U333" s="49"/>
      <c r="V333" s="48"/>
      <c r="W333" s="35">
        <v>2000</v>
      </c>
      <c r="X333" s="48"/>
      <c r="Y333" s="49"/>
      <c r="Z333" s="49"/>
      <c r="AA333" s="48"/>
      <c r="AB333" s="48"/>
      <c r="AC333" s="48"/>
      <c r="AD333" s="49"/>
      <c r="AE333" s="49"/>
      <c r="AF333" s="49"/>
      <c r="AG333" s="48"/>
      <c r="AH333" s="49"/>
      <c r="AI333" s="49"/>
    </row>
    <row r="334" spans="1:35" s="37" customFormat="1" x14ac:dyDescent="0.25">
      <c r="A334" s="48">
        <v>31</v>
      </c>
      <c r="B334" s="166" t="s">
        <v>837</v>
      </c>
      <c r="C334" s="166" t="s">
        <v>836</v>
      </c>
      <c r="D334" s="150">
        <f t="shared" si="15"/>
        <v>7500</v>
      </c>
      <c r="E334" s="35"/>
      <c r="F334" s="48"/>
      <c r="G334" s="35"/>
      <c r="H334" s="35"/>
      <c r="I334" s="35"/>
      <c r="J334" s="35"/>
      <c r="K334" s="35"/>
      <c r="L334" s="35"/>
      <c r="M334" s="136"/>
      <c r="N334" s="35"/>
      <c r="O334" s="48"/>
      <c r="P334" s="136"/>
      <c r="Q334" s="48"/>
      <c r="R334" s="40"/>
      <c r="S334" s="40"/>
      <c r="T334" s="40"/>
      <c r="U334" s="35"/>
      <c r="V334" s="48"/>
      <c r="W334" s="136">
        <v>7500</v>
      </c>
      <c r="X334" s="48"/>
      <c r="Y334" s="35"/>
      <c r="Z334" s="35"/>
      <c r="AA334" s="48"/>
      <c r="AB334" s="48"/>
      <c r="AC334" s="48"/>
      <c r="AD334" s="35"/>
      <c r="AE334" s="35"/>
      <c r="AF334" s="35"/>
      <c r="AG334" s="48"/>
      <c r="AH334" s="35"/>
      <c r="AI334" s="35"/>
    </row>
    <row r="335" spans="1:35" s="37" customFormat="1" ht="13.5" customHeight="1" x14ac:dyDescent="0.25">
      <c r="A335" s="48">
        <v>32</v>
      </c>
      <c r="B335" s="166" t="s">
        <v>664</v>
      </c>
      <c r="C335" s="166" t="s">
        <v>665</v>
      </c>
      <c r="D335" s="150">
        <f t="shared" si="15"/>
        <v>0</v>
      </c>
      <c r="E335" s="35"/>
      <c r="F335" s="48"/>
      <c r="G335" s="35"/>
      <c r="H335" s="35"/>
      <c r="I335" s="35"/>
      <c r="J335" s="35"/>
      <c r="K335" s="35"/>
      <c r="L335" s="35"/>
      <c r="M335" s="35"/>
      <c r="N335" s="35"/>
      <c r="O335" s="48"/>
      <c r="P335" s="35"/>
      <c r="Q335" s="48"/>
      <c r="R335" s="40"/>
      <c r="S335" s="40"/>
      <c r="T335" s="40"/>
      <c r="U335" s="35"/>
      <c r="V335" s="48"/>
      <c r="W335" s="35"/>
      <c r="X335" s="48"/>
      <c r="Y335" s="35"/>
      <c r="Z335" s="35"/>
      <c r="AA335" s="48"/>
      <c r="AB335" s="48"/>
      <c r="AC335" s="48"/>
      <c r="AD335" s="35"/>
      <c r="AE335" s="35"/>
      <c r="AF335" s="35"/>
      <c r="AG335" s="48"/>
      <c r="AH335" s="35"/>
      <c r="AI335" s="35"/>
    </row>
    <row r="336" spans="1:35" s="37" customFormat="1" ht="13.5" customHeight="1" x14ac:dyDescent="0.25">
      <c r="A336" s="141" t="s">
        <v>140</v>
      </c>
      <c r="B336" s="33" t="s">
        <v>126</v>
      </c>
      <c r="C336" s="141" t="s">
        <v>141</v>
      </c>
      <c r="D336" s="143">
        <f t="shared" ref="D336:AI336" si="16">SUM(D337:D494)</f>
        <v>4455127</v>
      </c>
      <c r="E336" s="143">
        <f t="shared" si="16"/>
        <v>243500</v>
      </c>
      <c r="F336" s="143">
        <f t="shared" si="16"/>
        <v>0</v>
      </c>
      <c r="G336" s="143">
        <f t="shared" si="16"/>
        <v>82470</v>
      </c>
      <c r="H336" s="35">
        <f t="shared" si="16"/>
        <v>181509</v>
      </c>
      <c r="I336" s="143">
        <f t="shared" si="16"/>
        <v>255820</v>
      </c>
      <c r="J336" s="143">
        <f t="shared" si="16"/>
        <v>235000</v>
      </c>
      <c r="K336" s="143">
        <f t="shared" si="16"/>
        <v>444384</v>
      </c>
      <c r="L336" s="143">
        <f t="shared" si="16"/>
        <v>109450</v>
      </c>
      <c r="M336" s="143">
        <f t="shared" si="16"/>
        <v>350840</v>
      </c>
      <c r="N336" s="143">
        <f t="shared" si="16"/>
        <v>208400</v>
      </c>
      <c r="O336" s="143">
        <f t="shared" si="16"/>
        <v>302550</v>
      </c>
      <c r="P336" s="143">
        <f t="shared" si="16"/>
        <v>235838</v>
      </c>
      <c r="Q336" s="143">
        <f t="shared" si="16"/>
        <v>128600</v>
      </c>
      <c r="R336" s="143">
        <f t="shared" si="16"/>
        <v>0</v>
      </c>
      <c r="S336" s="143">
        <f t="shared" si="16"/>
        <v>0</v>
      </c>
      <c r="T336" s="143">
        <f t="shared" si="16"/>
        <v>0</v>
      </c>
      <c r="U336" s="143">
        <f t="shared" si="16"/>
        <v>113522</v>
      </c>
      <c r="V336" s="143">
        <f t="shared" si="16"/>
        <v>80290</v>
      </c>
      <c r="W336" s="143">
        <f t="shared" si="16"/>
        <v>48510</v>
      </c>
      <c r="X336" s="48">
        <f t="shared" si="16"/>
        <v>95136</v>
      </c>
      <c r="Y336" s="143">
        <f t="shared" si="16"/>
        <v>208110</v>
      </c>
      <c r="Z336" s="143">
        <f t="shared" si="16"/>
        <v>137700</v>
      </c>
      <c r="AA336" s="143">
        <f t="shared" si="16"/>
        <v>76000</v>
      </c>
      <c r="AB336" s="143">
        <f t="shared" si="16"/>
        <v>227860</v>
      </c>
      <c r="AC336" s="143">
        <f t="shared" si="16"/>
        <v>170600</v>
      </c>
      <c r="AD336" s="143">
        <f t="shared" si="16"/>
        <v>206700</v>
      </c>
      <c r="AE336" s="143">
        <f t="shared" si="16"/>
        <v>170800</v>
      </c>
      <c r="AF336" s="143">
        <f t="shared" si="16"/>
        <v>64240</v>
      </c>
      <c r="AG336" s="143">
        <f t="shared" si="16"/>
        <v>1600</v>
      </c>
      <c r="AH336" s="143">
        <f t="shared" si="16"/>
        <v>75698</v>
      </c>
      <c r="AI336" s="143">
        <f t="shared" si="16"/>
        <v>0</v>
      </c>
    </row>
    <row r="337" spans="1:35" s="37" customFormat="1" ht="13.5" customHeight="1" x14ac:dyDescent="0.25">
      <c r="A337" s="48">
        <v>1</v>
      </c>
      <c r="B337" s="166" t="s">
        <v>842</v>
      </c>
      <c r="C337" s="166" t="s">
        <v>840</v>
      </c>
      <c r="D337" s="150">
        <f t="shared" ref="D337:D368" si="17">SUM(E337:AI337)</f>
        <v>4700</v>
      </c>
      <c r="E337" s="35"/>
      <c r="F337" s="48"/>
      <c r="G337" s="35"/>
      <c r="H337" s="35"/>
      <c r="I337" s="35"/>
      <c r="J337" s="35"/>
      <c r="K337" s="35"/>
      <c r="L337" s="35"/>
      <c r="M337" s="35"/>
      <c r="N337" s="48"/>
      <c r="O337" s="48">
        <v>4700</v>
      </c>
      <c r="P337" s="35"/>
      <c r="Q337" s="48"/>
      <c r="R337" s="40"/>
      <c r="S337" s="40"/>
      <c r="T337" s="40"/>
      <c r="U337" s="35"/>
      <c r="V337" s="48"/>
      <c r="W337" s="35"/>
      <c r="X337" s="48"/>
      <c r="Y337" s="35"/>
      <c r="Z337" s="35"/>
      <c r="AA337" s="48"/>
      <c r="AB337" s="48"/>
      <c r="AC337" s="48"/>
      <c r="AD337" s="35"/>
      <c r="AE337" s="35"/>
      <c r="AF337" s="35"/>
      <c r="AG337" s="48"/>
      <c r="AH337" s="35"/>
      <c r="AI337" s="35"/>
    </row>
    <row r="338" spans="1:35" s="37" customFormat="1" ht="13.5" customHeight="1" x14ac:dyDescent="0.25">
      <c r="A338" s="48">
        <v>2</v>
      </c>
      <c r="B338" s="166" t="s">
        <v>843</v>
      </c>
      <c r="C338" s="166" t="s">
        <v>841</v>
      </c>
      <c r="D338" s="150">
        <f t="shared" si="17"/>
        <v>5800</v>
      </c>
      <c r="E338" s="35"/>
      <c r="F338" s="48"/>
      <c r="G338" s="35"/>
      <c r="H338" s="35"/>
      <c r="I338" s="35"/>
      <c r="J338" s="35"/>
      <c r="K338" s="35"/>
      <c r="L338" s="35"/>
      <c r="M338" s="35"/>
      <c r="N338" s="48"/>
      <c r="O338" s="48">
        <v>5800</v>
      </c>
      <c r="P338" s="35"/>
      <c r="Q338" s="48"/>
      <c r="R338" s="40"/>
      <c r="S338" s="40"/>
      <c r="T338" s="40"/>
      <c r="U338" s="35"/>
      <c r="V338" s="48"/>
      <c r="W338" s="35"/>
      <c r="X338" s="48"/>
      <c r="Y338" s="35"/>
      <c r="Z338" s="35"/>
      <c r="AA338" s="48"/>
      <c r="AB338" s="48"/>
      <c r="AC338" s="48"/>
      <c r="AD338" s="35"/>
      <c r="AE338" s="35"/>
      <c r="AF338" s="35"/>
      <c r="AG338" s="48"/>
      <c r="AH338" s="35"/>
      <c r="AI338" s="35"/>
    </row>
    <row r="339" spans="1:35" ht="13.5" customHeight="1" x14ac:dyDescent="0.25">
      <c r="A339" s="48">
        <v>3</v>
      </c>
      <c r="B339" s="176" t="s">
        <v>1034</v>
      </c>
      <c r="C339" s="176" t="s">
        <v>1033</v>
      </c>
      <c r="D339" s="150">
        <f t="shared" si="17"/>
        <v>15300</v>
      </c>
      <c r="E339" s="137"/>
      <c r="F339" s="48"/>
      <c r="G339" s="137"/>
      <c r="H339" s="35"/>
      <c r="I339" s="35"/>
      <c r="J339" s="137"/>
      <c r="K339" s="137"/>
      <c r="L339" s="35"/>
      <c r="M339" s="137"/>
      <c r="N339" s="48"/>
      <c r="O339" s="48">
        <v>15300</v>
      </c>
      <c r="P339" s="137"/>
      <c r="Q339" s="48"/>
      <c r="R339" s="40"/>
      <c r="S339" s="40"/>
      <c r="T339" s="40"/>
      <c r="U339" s="137"/>
      <c r="V339" s="48"/>
      <c r="W339" s="137"/>
      <c r="X339" s="48"/>
      <c r="Y339" s="137"/>
      <c r="Z339" s="137"/>
      <c r="AA339" s="48"/>
      <c r="AB339" s="48"/>
      <c r="AC339" s="48"/>
      <c r="AD339" s="137"/>
      <c r="AE339" s="137"/>
      <c r="AF339" s="137"/>
      <c r="AG339" s="48"/>
      <c r="AH339" s="137"/>
      <c r="AI339" s="137"/>
    </row>
    <row r="340" spans="1:35" ht="13.5" customHeight="1" x14ac:dyDescent="0.25">
      <c r="A340" s="48">
        <v>4</v>
      </c>
      <c r="B340" s="176" t="s">
        <v>1038</v>
      </c>
      <c r="C340" s="176" t="s">
        <v>1035</v>
      </c>
      <c r="D340" s="150">
        <f t="shared" si="17"/>
        <v>2850</v>
      </c>
      <c r="E340" s="48"/>
      <c r="F340" s="48"/>
      <c r="G340" s="35"/>
      <c r="H340" s="35"/>
      <c r="I340" s="35"/>
      <c r="J340" s="35"/>
      <c r="K340" s="35"/>
      <c r="L340" s="35"/>
      <c r="M340" s="48"/>
      <c r="N340" s="48"/>
      <c r="O340" s="48">
        <v>2850</v>
      </c>
      <c r="P340" s="48"/>
      <c r="Q340" s="48"/>
      <c r="R340" s="40"/>
      <c r="S340" s="40"/>
      <c r="T340" s="40"/>
      <c r="U340" s="40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</row>
    <row r="341" spans="1:35" ht="13.5" customHeight="1" x14ac:dyDescent="0.25">
      <c r="A341" s="48">
        <v>5</v>
      </c>
      <c r="B341" s="176" t="s">
        <v>1039</v>
      </c>
      <c r="C341" s="176" t="s">
        <v>1036</v>
      </c>
      <c r="D341" s="150">
        <f t="shared" si="17"/>
        <v>3050</v>
      </c>
      <c r="E341" s="48"/>
      <c r="F341" s="48"/>
      <c r="G341" s="35"/>
      <c r="H341" s="35"/>
      <c r="I341" s="35"/>
      <c r="J341" s="35"/>
      <c r="K341" s="35"/>
      <c r="L341" s="35"/>
      <c r="M341" s="48"/>
      <c r="N341" s="48"/>
      <c r="O341" s="48">
        <v>3050</v>
      </c>
      <c r="P341" s="48"/>
      <c r="Q341" s="48"/>
      <c r="R341" s="40"/>
      <c r="S341" s="40"/>
      <c r="T341" s="40"/>
      <c r="U341" s="40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</row>
    <row r="342" spans="1:35" ht="13.5" customHeight="1" x14ac:dyDescent="0.25">
      <c r="A342" s="48">
        <v>6</v>
      </c>
      <c r="B342" s="176" t="s">
        <v>1040</v>
      </c>
      <c r="C342" s="176" t="s">
        <v>1037</v>
      </c>
      <c r="D342" s="150">
        <f t="shared" si="17"/>
        <v>6000</v>
      </c>
      <c r="E342" s="48"/>
      <c r="F342" s="48"/>
      <c r="G342" s="35"/>
      <c r="H342" s="35"/>
      <c r="I342" s="35"/>
      <c r="J342" s="35"/>
      <c r="K342" s="35"/>
      <c r="L342" s="35"/>
      <c r="M342" s="48"/>
      <c r="N342" s="48"/>
      <c r="O342" s="48">
        <v>6000</v>
      </c>
      <c r="P342" s="48"/>
      <c r="Q342" s="48"/>
      <c r="R342" s="40"/>
      <c r="S342" s="40"/>
      <c r="T342" s="40"/>
      <c r="U342" s="40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</row>
    <row r="343" spans="1:35" ht="13.5" customHeight="1" x14ac:dyDescent="0.25">
      <c r="A343" s="48">
        <v>7</v>
      </c>
      <c r="B343" s="176" t="s">
        <v>1042</v>
      </c>
      <c r="C343" s="176" t="s">
        <v>1041</v>
      </c>
      <c r="D343" s="150">
        <f t="shared" si="17"/>
        <v>1000</v>
      </c>
      <c r="E343" s="137"/>
      <c r="F343" s="48"/>
      <c r="G343" s="137"/>
      <c r="H343" s="35"/>
      <c r="I343" s="35"/>
      <c r="J343" s="35"/>
      <c r="K343" s="137"/>
      <c r="L343" s="35"/>
      <c r="M343" s="48"/>
      <c r="N343" s="48"/>
      <c r="O343" s="48">
        <v>500</v>
      </c>
      <c r="P343" s="48"/>
      <c r="Q343" s="48"/>
      <c r="R343" s="40"/>
      <c r="S343" s="40"/>
      <c r="T343" s="40"/>
      <c r="U343" s="35"/>
      <c r="V343" s="48"/>
      <c r="W343" s="137"/>
      <c r="X343" s="48"/>
      <c r="Y343" s="48"/>
      <c r="Z343" s="137"/>
      <c r="AA343" s="48"/>
      <c r="AB343" s="48"/>
      <c r="AC343" s="48"/>
      <c r="AD343" s="48">
        <v>500</v>
      </c>
      <c r="AE343" s="137"/>
      <c r="AF343" s="137"/>
      <c r="AG343" s="48"/>
      <c r="AH343" s="137"/>
      <c r="AI343" s="137"/>
    </row>
    <row r="344" spans="1:35" ht="12.75" customHeight="1" x14ac:dyDescent="0.25">
      <c r="A344" s="48">
        <v>8</v>
      </c>
      <c r="B344" s="166" t="s">
        <v>452</v>
      </c>
      <c r="C344" s="166" t="s">
        <v>814</v>
      </c>
      <c r="D344" s="150">
        <f t="shared" si="17"/>
        <v>60</v>
      </c>
      <c r="E344" s="48"/>
      <c r="F344" s="48"/>
      <c r="G344" s="35"/>
      <c r="H344" s="35">
        <v>60</v>
      </c>
      <c r="I344" s="35"/>
      <c r="J344" s="35"/>
      <c r="K344" s="35"/>
      <c r="L344" s="35"/>
      <c r="M344" s="48"/>
      <c r="N344" s="48"/>
      <c r="O344" s="48"/>
      <c r="P344" s="48"/>
      <c r="Q344" s="48"/>
      <c r="R344" s="40"/>
      <c r="S344" s="40"/>
      <c r="T344" s="40"/>
      <c r="U344" s="40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</row>
    <row r="345" spans="1:35" x14ac:dyDescent="0.25">
      <c r="A345" s="48">
        <v>9</v>
      </c>
      <c r="B345" s="166" t="s">
        <v>865</v>
      </c>
      <c r="C345" s="166" t="s">
        <v>864</v>
      </c>
      <c r="D345" s="150">
        <f t="shared" si="17"/>
        <v>9000</v>
      </c>
      <c r="E345" s="49"/>
      <c r="F345" s="48"/>
      <c r="G345" s="49"/>
      <c r="H345" s="35"/>
      <c r="I345" s="35"/>
      <c r="J345" s="49"/>
      <c r="K345" s="49"/>
      <c r="L345" s="35"/>
      <c r="M345" s="48"/>
      <c r="N345" s="48"/>
      <c r="O345" s="48"/>
      <c r="P345" s="49"/>
      <c r="Q345" s="48"/>
      <c r="R345" s="40"/>
      <c r="S345" s="40"/>
      <c r="T345" s="40"/>
      <c r="U345" s="49"/>
      <c r="V345" s="48"/>
      <c r="W345" s="49"/>
      <c r="X345" s="48"/>
      <c r="Y345" s="48"/>
      <c r="Z345" s="48">
        <v>9000</v>
      </c>
      <c r="AA345" s="48"/>
      <c r="AB345" s="48"/>
      <c r="AC345" s="48"/>
      <c r="AD345" s="49"/>
      <c r="AE345" s="49"/>
      <c r="AF345" s="35"/>
      <c r="AG345" s="48"/>
      <c r="AH345" s="49"/>
      <c r="AI345" s="49"/>
    </row>
    <row r="346" spans="1:35" s="37" customFormat="1" x14ac:dyDescent="0.25">
      <c r="A346" s="48">
        <v>10</v>
      </c>
      <c r="B346" s="176" t="s">
        <v>368</v>
      </c>
      <c r="C346" s="176" t="s">
        <v>874</v>
      </c>
      <c r="D346" s="150">
        <f t="shared" si="17"/>
        <v>115000</v>
      </c>
      <c r="E346" s="35"/>
      <c r="F346" s="48"/>
      <c r="G346" s="35"/>
      <c r="H346" s="35">
        <v>30000</v>
      </c>
      <c r="I346" s="35">
        <v>22500</v>
      </c>
      <c r="J346" s="35"/>
      <c r="K346" s="35">
        <v>20500</v>
      </c>
      <c r="L346" s="35"/>
      <c r="M346" s="136"/>
      <c r="N346" s="48"/>
      <c r="O346" s="48"/>
      <c r="P346" s="136"/>
      <c r="Q346" s="48"/>
      <c r="R346" s="40"/>
      <c r="S346" s="40"/>
      <c r="T346" s="40"/>
      <c r="U346" s="35"/>
      <c r="V346" s="48"/>
      <c r="W346" s="136">
        <v>15000</v>
      </c>
      <c r="X346" s="48"/>
      <c r="Y346" s="35"/>
      <c r="Z346" s="35"/>
      <c r="AA346" s="48"/>
      <c r="AB346" s="48">
        <v>10000</v>
      </c>
      <c r="AC346" s="48">
        <v>17000</v>
      </c>
      <c r="AD346" s="35"/>
      <c r="AE346" s="35"/>
      <c r="AF346" s="35"/>
      <c r="AG346" s="48"/>
      <c r="AH346" s="35"/>
      <c r="AI346" s="35"/>
    </row>
    <row r="347" spans="1:35" s="37" customFormat="1" ht="13.5" customHeight="1" x14ac:dyDescent="0.25">
      <c r="A347" s="48">
        <v>11</v>
      </c>
      <c r="B347" s="176" t="s">
        <v>876</v>
      </c>
      <c r="C347" s="176" t="s">
        <v>875</v>
      </c>
      <c r="D347" s="150">
        <f t="shared" si="17"/>
        <v>1600</v>
      </c>
      <c r="E347" s="35"/>
      <c r="F347" s="48"/>
      <c r="G347" s="35"/>
      <c r="H347" s="35"/>
      <c r="I347" s="35"/>
      <c r="J347" s="35"/>
      <c r="K347" s="35"/>
      <c r="L347" s="35"/>
      <c r="M347" s="35"/>
      <c r="N347" s="48"/>
      <c r="O347" s="48"/>
      <c r="P347" s="35"/>
      <c r="Q347" s="48"/>
      <c r="R347" s="40"/>
      <c r="S347" s="40"/>
      <c r="T347" s="40"/>
      <c r="U347" s="35"/>
      <c r="V347" s="48"/>
      <c r="W347" s="35"/>
      <c r="X347" s="48"/>
      <c r="Y347" s="35"/>
      <c r="Z347" s="35"/>
      <c r="AA347" s="48"/>
      <c r="AB347" s="48">
        <v>1600</v>
      </c>
      <c r="AC347" s="48"/>
      <c r="AD347" s="35"/>
      <c r="AE347" s="35"/>
      <c r="AF347" s="35"/>
      <c r="AG347" s="48"/>
      <c r="AH347" s="35"/>
      <c r="AI347" s="35"/>
    </row>
    <row r="348" spans="1:35" s="37" customFormat="1" ht="13.5" customHeight="1" x14ac:dyDescent="0.25">
      <c r="A348" s="48">
        <v>12</v>
      </c>
      <c r="B348" s="166" t="s">
        <v>687</v>
      </c>
      <c r="C348" s="166" t="s">
        <v>686</v>
      </c>
      <c r="D348" s="150">
        <f t="shared" si="17"/>
        <v>131500</v>
      </c>
      <c r="E348" s="35"/>
      <c r="F348" s="48"/>
      <c r="G348" s="35"/>
      <c r="H348" s="35"/>
      <c r="I348" s="35">
        <v>25000</v>
      </c>
      <c r="J348" s="35">
        <v>43000</v>
      </c>
      <c r="K348" s="35"/>
      <c r="L348" s="35">
        <v>13450</v>
      </c>
      <c r="M348" s="35"/>
      <c r="N348" s="48"/>
      <c r="O348" s="48"/>
      <c r="P348" s="35">
        <v>40000</v>
      </c>
      <c r="Q348" s="48"/>
      <c r="R348" s="40"/>
      <c r="S348" s="40"/>
      <c r="T348" s="40"/>
      <c r="U348" s="35">
        <v>10050</v>
      </c>
      <c r="V348" s="48"/>
      <c r="W348" s="35"/>
      <c r="X348" s="48"/>
      <c r="Y348" s="35"/>
      <c r="Z348" s="35"/>
      <c r="AA348" s="48"/>
      <c r="AB348" s="48"/>
      <c r="AC348" s="48"/>
      <c r="AD348" s="35"/>
      <c r="AE348" s="35"/>
      <c r="AF348" s="35"/>
      <c r="AG348" s="48"/>
      <c r="AH348" s="35"/>
      <c r="AI348" s="35"/>
    </row>
    <row r="349" spans="1:35" s="37" customFormat="1" ht="13.5" customHeight="1" x14ac:dyDescent="0.25">
      <c r="A349" s="48">
        <v>13</v>
      </c>
      <c r="B349" s="176" t="s">
        <v>974</v>
      </c>
      <c r="C349" s="176" t="s">
        <v>973</v>
      </c>
      <c r="D349" s="150">
        <f t="shared" si="17"/>
        <v>437300</v>
      </c>
      <c r="E349" s="35"/>
      <c r="F349" s="48"/>
      <c r="G349" s="35"/>
      <c r="H349" s="35">
        <v>100000</v>
      </c>
      <c r="I349" s="35">
        <v>100000</v>
      </c>
      <c r="J349" s="35">
        <v>40000</v>
      </c>
      <c r="K349" s="35"/>
      <c r="L349" s="35"/>
      <c r="M349" s="35">
        <v>100000</v>
      </c>
      <c r="N349" s="48">
        <v>50000</v>
      </c>
      <c r="O349" s="48"/>
      <c r="P349" s="35"/>
      <c r="Q349" s="48"/>
      <c r="R349" s="40"/>
      <c r="S349" s="40"/>
      <c r="T349" s="40"/>
      <c r="U349" s="35"/>
      <c r="V349" s="48">
        <v>47300</v>
      </c>
      <c r="W349" s="35"/>
      <c r="X349" s="48"/>
      <c r="Y349" s="35"/>
      <c r="Z349" s="35"/>
      <c r="AA349" s="48"/>
      <c r="AB349" s="48"/>
      <c r="AC349" s="48"/>
      <c r="AD349" s="35"/>
      <c r="AE349" s="35"/>
      <c r="AF349" s="35"/>
      <c r="AG349" s="48"/>
      <c r="AH349" s="35"/>
      <c r="AI349" s="35"/>
    </row>
    <row r="350" spans="1:35" s="37" customFormat="1" ht="13.5" customHeight="1" x14ac:dyDescent="0.25">
      <c r="A350" s="48">
        <v>14</v>
      </c>
      <c r="B350" s="176" t="s">
        <v>976</v>
      </c>
      <c r="C350" s="176" t="s">
        <v>975</v>
      </c>
      <c r="D350" s="150">
        <f t="shared" si="17"/>
        <v>7640</v>
      </c>
      <c r="E350" s="35"/>
      <c r="F350" s="48"/>
      <c r="G350" s="35"/>
      <c r="H350" s="35">
        <v>6640</v>
      </c>
      <c r="I350" s="35"/>
      <c r="J350" s="35"/>
      <c r="K350" s="35"/>
      <c r="L350" s="35"/>
      <c r="M350" s="35"/>
      <c r="N350" s="48"/>
      <c r="O350" s="48"/>
      <c r="P350" s="35"/>
      <c r="Q350" s="48"/>
      <c r="R350" s="40"/>
      <c r="S350" s="40"/>
      <c r="T350" s="40"/>
      <c r="U350" s="35"/>
      <c r="V350" s="48"/>
      <c r="W350" s="35"/>
      <c r="X350" s="48"/>
      <c r="Y350" s="35"/>
      <c r="Z350" s="35">
        <v>1000</v>
      </c>
      <c r="AA350" s="48"/>
      <c r="AB350" s="48"/>
      <c r="AC350" s="48"/>
      <c r="AD350" s="35"/>
      <c r="AE350" s="35"/>
      <c r="AF350" s="35"/>
      <c r="AG350" s="48"/>
      <c r="AH350" s="35"/>
      <c r="AI350" s="35"/>
    </row>
    <row r="351" spans="1:35" s="37" customFormat="1" ht="13.5" customHeight="1" x14ac:dyDescent="0.25">
      <c r="A351" s="48">
        <v>15</v>
      </c>
      <c r="B351" s="166" t="s">
        <v>342</v>
      </c>
      <c r="C351" s="166" t="s">
        <v>423</v>
      </c>
      <c r="D351" s="150">
        <f t="shared" si="17"/>
        <v>9200</v>
      </c>
      <c r="E351" s="35"/>
      <c r="F351" s="48"/>
      <c r="G351" s="35"/>
      <c r="H351" s="35"/>
      <c r="I351" s="35"/>
      <c r="J351" s="35"/>
      <c r="K351" s="35">
        <v>5200</v>
      </c>
      <c r="L351" s="35"/>
      <c r="M351" s="35"/>
      <c r="N351" s="48"/>
      <c r="O351" s="48"/>
      <c r="P351" s="35"/>
      <c r="Q351" s="48"/>
      <c r="R351" s="40"/>
      <c r="S351" s="40"/>
      <c r="T351" s="40"/>
      <c r="U351" s="35"/>
      <c r="V351" s="48"/>
      <c r="W351" s="35"/>
      <c r="X351" s="48"/>
      <c r="Y351" s="35"/>
      <c r="Z351" s="35"/>
      <c r="AA351" s="48"/>
      <c r="AB351" s="48"/>
      <c r="AC351" s="48"/>
      <c r="AD351" s="35"/>
      <c r="AE351" s="35"/>
      <c r="AF351" s="35"/>
      <c r="AG351" s="48"/>
      <c r="AH351" s="35">
        <v>4000</v>
      </c>
      <c r="AI351" s="35"/>
    </row>
    <row r="352" spans="1:35" s="37" customFormat="1" ht="13.5" customHeight="1" x14ac:dyDescent="0.25">
      <c r="A352" s="48">
        <v>16</v>
      </c>
      <c r="B352" s="176" t="s">
        <v>970</v>
      </c>
      <c r="C352" s="176" t="s">
        <v>969</v>
      </c>
      <c r="D352" s="150">
        <f t="shared" si="17"/>
        <v>470</v>
      </c>
      <c r="E352" s="35"/>
      <c r="F352" s="48"/>
      <c r="G352" s="35">
        <v>470</v>
      </c>
      <c r="H352" s="35"/>
      <c r="I352" s="35"/>
      <c r="J352" s="35"/>
      <c r="K352" s="35"/>
      <c r="L352" s="35"/>
      <c r="M352" s="35"/>
      <c r="N352" s="48"/>
      <c r="O352" s="48"/>
      <c r="P352" s="35"/>
      <c r="Q352" s="48"/>
      <c r="R352" s="40"/>
      <c r="S352" s="40"/>
      <c r="T352" s="40"/>
      <c r="U352" s="35"/>
      <c r="V352" s="48"/>
      <c r="W352" s="35"/>
      <c r="X352" s="48"/>
      <c r="Y352" s="35"/>
      <c r="Z352" s="35"/>
      <c r="AA352" s="48"/>
      <c r="AB352" s="48"/>
      <c r="AC352" s="48"/>
      <c r="AD352" s="35"/>
      <c r="AE352" s="35"/>
      <c r="AF352" s="35"/>
      <c r="AG352" s="48"/>
      <c r="AH352" s="35"/>
      <c r="AI352" s="35"/>
    </row>
    <row r="353" spans="1:35" s="37" customFormat="1" ht="13.5" customHeight="1" x14ac:dyDescent="0.25">
      <c r="A353" s="48">
        <v>17</v>
      </c>
      <c r="B353" s="166" t="s">
        <v>495</v>
      </c>
      <c r="C353" s="166" t="s">
        <v>494</v>
      </c>
      <c r="D353" s="150">
        <f t="shared" si="17"/>
        <v>5100</v>
      </c>
      <c r="E353" s="35"/>
      <c r="F353" s="48"/>
      <c r="G353" s="35"/>
      <c r="H353" s="35"/>
      <c r="I353" s="35"/>
      <c r="J353" s="35"/>
      <c r="K353" s="35"/>
      <c r="L353" s="35"/>
      <c r="M353" s="35"/>
      <c r="N353" s="48"/>
      <c r="O353" s="48">
        <v>5100</v>
      </c>
      <c r="P353" s="35"/>
      <c r="Q353" s="48"/>
      <c r="R353" s="40"/>
      <c r="S353" s="40"/>
      <c r="T353" s="40"/>
      <c r="U353" s="35"/>
      <c r="V353" s="48"/>
      <c r="W353" s="35"/>
      <c r="X353" s="48"/>
      <c r="Y353" s="35"/>
      <c r="Z353" s="35"/>
      <c r="AA353" s="48"/>
      <c r="AB353" s="48"/>
      <c r="AC353" s="48"/>
      <c r="AD353" s="35"/>
      <c r="AE353" s="35"/>
      <c r="AF353" s="35"/>
      <c r="AG353" s="48"/>
      <c r="AH353" s="35"/>
      <c r="AI353" s="35"/>
    </row>
    <row r="354" spans="1:35" s="37" customFormat="1" ht="13.5" customHeight="1" x14ac:dyDescent="0.25">
      <c r="A354" s="48">
        <v>18</v>
      </c>
      <c r="B354" s="176" t="s">
        <v>1045</v>
      </c>
      <c r="C354" s="176" t="s">
        <v>1043</v>
      </c>
      <c r="D354" s="150">
        <f t="shared" si="17"/>
        <v>4400</v>
      </c>
      <c r="E354" s="35"/>
      <c r="F354" s="48"/>
      <c r="G354" s="35"/>
      <c r="H354" s="35"/>
      <c r="I354" s="35"/>
      <c r="J354" s="35"/>
      <c r="K354" s="35"/>
      <c r="L354" s="35"/>
      <c r="M354" s="35"/>
      <c r="N354" s="48"/>
      <c r="O354" s="48">
        <v>2200</v>
      </c>
      <c r="P354" s="35"/>
      <c r="Q354" s="48"/>
      <c r="R354" s="40"/>
      <c r="S354" s="40"/>
      <c r="T354" s="40"/>
      <c r="U354" s="35"/>
      <c r="V354" s="48"/>
      <c r="W354" s="35">
        <v>2200</v>
      </c>
      <c r="X354" s="48"/>
      <c r="Y354" s="35"/>
      <c r="Z354" s="35"/>
      <c r="AA354" s="48"/>
      <c r="AB354" s="48"/>
      <c r="AC354" s="48"/>
      <c r="AD354" s="35"/>
      <c r="AE354" s="35"/>
      <c r="AF354" s="35"/>
      <c r="AG354" s="48"/>
      <c r="AH354" s="35"/>
      <c r="AI354" s="35"/>
    </row>
    <row r="355" spans="1:35" s="37" customFormat="1" ht="13.5" customHeight="1" x14ac:dyDescent="0.25">
      <c r="A355" s="48">
        <v>19</v>
      </c>
      <c r="B355" s="176" t="s">
        <v>1046</v>
      </c>
      <c r="C355" s="176" t="s">
        <v>1044</v>
      </c>
      <c r="D355" s="150">
        <f t="shared" si="17"/>
        <v>3460</v>
      </c>
      <c r="E355" s="35"/>
      <c r="F355" s="48"/>
      <c r="G355" s="35"/>
      <c r="H355" s="35"/>
      <c r="I355" s="35"/>
      <c r="J355" s="35"/>
      <c r="K355" s="35"/>
      <c r="L355" s="35"/>
      <c r="M355" s="35"/>
      <c r="N355" s="48"/>
      <c r="O355" s="48">
        <v>2200</v>
      </c>
      <c r="P355" s="35"/>
      <c r="Q355" s="48"/>
      <c r="R355" s="40"/>
      <c r="S355" s="40"/>
      <c r="T355" s="40"/>
      <c r="U355" s="35"/>
      <c r="V355" s="48">
        <v>800</v>
      </c>
      <c r="W355" s="35"/>
      <c r="X355" s="48"/>
      <c r="Y355" s="35"/>
      <c r="Z355" s="35"/>
      <c r="AA355" s="48"/>
      <c r="AB355" s="48">
        <v>460</v>
      </c>
      <c r="AC355" s="48"/>
      <c r="AD355" s="35"/>
      <c r="AE355" s="35"/>
      <c r="AF355" s="35"/>
      <c r="AG355" s="48"/>
      <c r="AH355" s="35"/>
      <c r="AI355" s="35"/>
    </row>
    <row r="356" spans="1:35" s="37" customFormat="1" ht="13.5" customHeight="1" x14ac:dyDescent="0.25">
      <c r="A356" s="48">
        <v>20</v>
      </c>
      <c r="B356" s="166" t="s">
        <v>342</v>
      </c>
      <c r="C356" s="166" t="s">
        <v>496</v>
      </c>
      <c r="D356" s="150">
        <f t="shared" si="17"/>
        <v>12300</v>
      </c>
      <c r="E356" s="35"/>
      <c r="F356" s="48"/>
      <c r="G356" s="35"/>
      <c r="H356" s="35"/>
      <c r="I356" s="35"/>
      <c r="J356" s="35"/>
      <c r="K356" s="35"/>
      <c r="L356" s="35"/>
      <c r="M356" s="35"/>
      <c r="N356" s="48"/>
      <c r="O356" s="48"/>
      <c r="P356" s="35"/>
      <c r="Q356" s="48"/>
      <c r="R356" s="40"/>
      <c r="S356" s="40"/>
      <c r="T356" s="40"/>
      <c r="U356" s="35"/>
      <c r="V356" s="48"/>
      <c r="W356" s="35">
        <v>7000</v>
      </c>
      <c r="X356" s="48"/>
      <c r="Y356" s="35">
        <v>5300</v>
      </c>
      <c r="Z356" s="35"/>
      <c r="AA356" s="48"/>
      <c r="AB356" s="48"/>
      <c r="AC356" s="48"/>
      <c r="AD356" s="35"/>
      <c r="AE356" s="35"/>
      <c r="AF356" s="35"/>
      <c r="AG356" s="48"/>
      <c r="AH356" s="35"/>
      <c r="AI356" s="35"/>
    </row>
    <row r="357" spans="1:35" s="37" customFormat="1" ht="13.5" customHeight="1" x14ac:dyDescent="0.25">
      <c r="A357" s="48">
        <v>21</v>
      </c>
      <c r="B357" s="166" t="s">
        <v>652</v>
      </c>
      <c r="C357" s="166" t="s">
        <v>651</v>
      </c>
      <c r="D357" s="150">
        <f t="shared" si="17"/>
        <v>1100</v>
      </c>
      <c r="E357" s="35"/>
      <c r="F357" s="48"/>
      <c r="G357" s="35"/>
      <c r="H357" s="35"/>
      <c r="I357" s="35"/>
      <c r="J357" s="35"/>
      <c r="K357" s="35"/>
      <c r="L357" s="35"/>
      <c r="M357" s="35"/>
      <c r="N357" s="48"/>
      <c r="O357" s="48">
        <v>1100</v>
      </c>
      <c r="P357" s="35"/>
      <c r="Q357" s="48"/>
      <c r="R357" s="40"/>
      <c r="S357" s="40"/>
      <c r="T357" s="40"/>
      <c r="U357" s="35"/>
      <c r="V357" s="48"/>
      <c r="W357" s="35"/>
      <c r="X357" s="48"/>
      <c r="Y357" s="35"/>
      <c r="Z357" s="35"/>
      <c r="AA357" s="48"/>
      <c r="AB357" s="35"/>
      <c r="AC357" s="48"/>
      <c r="AD357" s="35"/>
      <c r="AE357" s="35"/>
      <c r="AF357" s="35"/>
      <c r="AG357" s="48"/>
      <c r="AH357" s="35"/>
      <c r="AI357" s="35"/>
    </row>
    <row r="358" spans="1:35" s="37" customFormat="1" ht="13.5" customHeight="1" x14ac:dyDescent="0.25">
      <c r="A358" s="48">
        <v>22</v>
      </c>
      <c r="B358" s="166" t="s">
        <v>407</v>
      </c>
      <c r="C358" s="166" t="s">
        <v>408</v>
      </c>
      <c r="D358" s="150">
        <f t="shared" si="17"/>
        <v>49000</v>
      </c>
      <c r="E358" s="35"/>
      <c r="F358" s="48"/>
      <c r="G358" s="35"/>
      <c r="H358" s="35"/>
      <c r="I358" s="35"/>
      <c r="J358" s="35"/>
      <c r="K358" s="35"/>
      <c r="L358" s="35"/>
      <c r="M358" s="35">
        <v>30000</v>
      </c>
      <c r="N358" s="48"/>
      <c r="O358" s="48"/>
      <c r="P358" s="35">
        <v>19000</v>
      </c>
      <c r="Q358" s="48"/>
      <c r="R358" s="40"/>
      <c r="S358" s="40"/>
      <c r="T358" s="40"/>
      <c r="U358" s="35"/>
      <c r="V358" s="48"/>
      <c r="W358" s="35"/>
      <c r="X358" s="48"/>
      <c r="Y358" s="35"/>
      <c r="Z358" s="35"/>
      <c r="AA358" s="48"/>
      <c r="AB358" s="35"/>
      <c r="AC358" s="48"/>
      <c r="AD358" s="35"/>
      <c r="AE358" s="35"/>
      <c r="AF358" s="35"/>
      <c r="AG358" s="48"/>
      <c r="AH358" s="35"/>
      <c r="AI358" s="35"/>
    </row>
    <row r="359" spans="1:35" s="37" customFormat="1" ht="13.5" customHeight="1" x14ac:dyDescent="0.25">
      <c r="A359" s="48">
        <v>23</v>
      </c>
      <c r="B359" s="166" t="s">
        <v>541</v>
      </c>
      <c r="C359" s="166" t="s">
        <v>540</v>
      </c>
      <c r="D359" s="150">
        <f t="shared" si="17"/>
        <v>800</v>
      </c>
      <c r="E359" s="35"/>
      <c r="F359" s="48"/>
      <c r="G359" s="35"/>
      <c r="H359" s="35"/>
      <c r="I359" s="35"/>
      <c r="J359" s="35"/>
      <c r="K359" s="35"/>
      <c r="L359" s="35"/>
      <c r="M359" s="35"/>
      <c r="N359" s="48"/>
      <c r="O359" s="48"/>
      <c r="P359" s="35"/>
      <c r="Q359" s="48"/>
      <c r="R359" s="40"/>
      <c r="S359" s="40"/>
      <c r="T359" s="40"/>
      <c r="U359" s="35"/>
      <c r="V359" s="48"/>
      <c r="W359" s="35"/>
      <c r="X359" s="48"/>
      <c r="Y359" s="35"/>
      <c r="Z359" s="35"/>
      <c r="AA359" s="48"/>
      <c r="AB359" s="35">
        <v>800</v>
      </c>
      <c r="AC359" s="48"/>
      <c r="AD359" s="35"/>
      <c r="AE359" s="35"/>
      <c r="AF359" s="35"/>
      <c r="AG359" s="48"/>
      <c r="AH359" s="35"/>
      <c r="AI359" s="35"/>
    </row>
    <row r="360" spans="1:35" s="37" customFormat="1" ht="13.5" customHeight="1" x14ac:dyDescent="0.25">
      <c r="A360" s="48">
        <v>24</v>
      </c>
      <c r="B360" s="166" t="s">
        <v>654</v>
      </c>
      <c r="C360" s="166" t="s">
        <v>653</v>
      </c>
      <c r="D360" s="150">
        <f t="shared" si="17"/>
        <v>190</v>
      </c>
      <c r="E360" s="35"/>
      <c r="F360" s="48"/>
      <c r="G360" s="35"/>
      <c r="H360" s="35"/>
      <c r="I360" s="35"/>
      <c r="J360" s="35"/>
      <c r="K360" s="35"/>
      <c r="L360" s="35"/>
      <c r="M360" s="35"/>
      <c r="N360" s="48"/>
      <c r="O360" s="48"/>
      <c r="P360" s="35"/>
      <c r="Q360" s="48"/>
      <c r="R360" s="40"/>
      <c r="S360" s="40"/>
      <c r="T360" s="40"/>
      <c r="U360" s="35"/>
      <c r="V360" s="48">
        <v>190</v>
      </c>
      <c r="W360" s="35"/>
      <c r="X360" s="48"/>
      <c r="Y360" s="35"/>
      <c r="Z360" s="35"/>
      <c r="AA360" s="48"/>
      <c r="AB360" s="35"/>
      <c r="AC360" s="48"/>
      <c r="AD360" s="35"/>
      <c r="AE360" s="35"/>
      <c r="AF360" s="35"/>
      <c r="AG360" s="48"/>
      <c r="AH360" s="35"/>
      <c r="AI360" s="35"/>
    </row>
    <row r="361" spans="1:35" s="37" customFormat="1" ht="13.5" customHeight="1" x14ac:dyDescent="0.25">
      <c r="A361" s="48">
        <v>25</v>
      </c>
      <c r="B361" s="166" t="s">
        <v>173</v>
      </c>
      <c r="C361" s="166" t="s">
        <v>172</v>
      </c>
      <c r="D361" s="150">
        <f t="shared" si="17"/>
        <v>285000</v>
      </c>
      <c r="E361" s="35"/>
      <c r="F361" s="48"/>
      <c r="G361" s="35"/>
      <c r="H361" s="35"/>
      <c r="I361" s="35"/>
      <c r="J361" s="35"/>
      <c r="K361" s="35"/>
      <c r="L361" s="35"/>
      <c r="M361" s="35"/>
      <c r="N361" s="48">
        <v>60000</v>
      </c>
      <c r="O361" s="48"/>
      <c r="P361" s="35"/>
      <c r="Q361" s="48">
        <v>10000</v>
      </c>
      <c r="R361" s="40"/>
      <c r="S361" s="40"/>
      <c r="T361" s="40"/>
      <c r="U361" s="35"/>
      <c r="V361" s="48"/>
      <c r="W361" s="35"/>
      <c r="X361" s="48"/>
      <c r="Y361" s="35">
        <v>40000</v>
      </c>
      <c r="Z361" s="35">
        <v>40000</v>
      </c>
      <c r="AA361" s="48"/>
      <c r="AB361" s="35">
        <v>35000</v>
      </c>
      <c r="AC361" s="48"/>
      <c r="AD361" s="35">
        <v>100000</v>
      </c>
      <c r="AE361" s="35"/>
      <c r="AF361" s="35"/>
      <c r="AG361" s="48"/>
      <c r="AH361" s="35"/>
      <c r="AI361" s="35"/>
    </row>
    <row r="362" spans="1:35" s="37" customFormat="1" ht="13.5" customHeight="1" x14ac:dyDescent="0.25">
      <c r="A362" s="48">
        <v>26</v>
      </c>
      <c r="B362" s="166" t="s">
        <v>349</v>
      </c>
      <c r="C362" s="166" t="s">
        <v>348</v>
      </c>
      <c r="D362" s="150">
        <f t="shared" si="17"/>
        <v>3000</v>
      </c>
      <c r="E362" s="35"/>
      <c r="F362" s="48"/>
      <c r="G362" s="35"/>
      <c r="H362" s="35"/>
      <c r="I362" s="35"/>
      <c r="J362" s="35"/>
      <c r="K362" s="35"/>
      <c r="L362" s="35"/>
      <c r="M362" s="35"/>
      <c r="N362" s="48"/>
      <c r="O362" s="48"/>
      <c r="P362" s="35"/>
      <c r="Q362" s="48"/>
      <c r="R362" s="40"/>
      <c r="S362" s="40"/>
      <c r="T362" s="40"/>
      <c r="U362" s="35">
        <v>3000</v>
      </c>
      <c r="V362" s="48"/>
      <c r="W362" s="35"/>
      <c r="X362" s="48"/>
      <c r="Y362" s="35"/>
      <c r="Z362" s="35"/>
      <c r="AA362" s="48"/>
      <c r="AB362" s="35"/>
      <c r="AC362" s="48"/>
      <c r="AD362" s="35"/>
      <c r="AE362" s="35"/>
      <c r="AF362" s="35"/>
      <c r="AG362" s="48"/>
      <c r="AH362" s="35"/>
      <c r="AI362" s="35"/>
    </row>
    <row r="363" spans="1:35" s="37" customFormat="1" ht="13.5" customHeight="1" x14ac:dyDescent="0.25">
      <c r="A363" s="48">
        <v>27</v>
      </c>
      <c r="B363" s="166" t="s">
        <v>207</v>
      </c>
      <c r="C363" s="166" t="s">
        <v>206</v>
      </c>
      <c r="D363" s="150">
        <f t="shared" si="17"/>
        <v>688000</v>
      </c>
      <c r="E363" s="35">
        <v>200000</v>
      </c>
      <c r="F363" s="48"/>
      <c r="G363" s="35"/>
      <c r="H363" s="35"/>
      <c r="I363" s="35"/>
      <c r="J363" s="35">
        <v>100000</v>
      </c>
      <c r="K363" s="35">
        <v>100000</v>
      </c>
      <c r="L363" s="35"/>
      <c r="M363" s="35"/>
      <c r="N363" s="48">
        <v>50000</v>
      </c>
      <c r="O363" s="48">
        <v>50000</v>
      </c>
      <c r="P363" s="35">
        <v>50000</v>
      </c>
      <c r="Q363" s="48">
        <v>100000</v>
      </c>
      <c r="R363" s="40"/>
      <c r="S363" s="40"/>
      <c r="T363" s="40"/>
      <c r="U363" s="35">
        <v>28000</v>
      </c>
      <c r="V363" s="48"/>
      <c r="W363" s="35"/>
      <c r="X363" s="48"/>
      <c r="Y363" s="35"/>
      <c r="Z363" s="35"/>
      <c r="AA363" s="48"/>
      <c r="AB363" s="35">
        <v>10000</v>
      </c>
      <c r="AC363" s="48"/>
      <c r="AD363" s="35"/>
      <c r="AE363" s="35"/>
      <c r="AF363" s="35"/>
      <c r="AG363" s="48"/>
      <c r="AH363" s="35"/>
      <c r="AI363" s="35"/>
    </row>
    <row r="364" spans="1:35" ht="13.5" customHeight="1" x14ac:dyDescent="0.25">
      <c r="A364" s="48">
        <v>28</v>
      </c>
      <c r="B364" s="176" t="s">
        <v>343</v>
      </c>
      <c r="C364" s="176" t="s">
        <v>1167</v>
      </c>
      <c r="D364" s="150">
        <f t="shared" si="17"/>
        <v>49000</v>
      </c>
      <c r="E364" s="137"/>
      <c r="F364" s="48"/>
      <c r="G364" s="137"/>
      <c r="H364" s="137"/>
      <c r="I364" s="35"/>
      <c r="J364" s="35"/>
      <c r="K364" s="137"/>
      <c r="L364" s="35"/>
      <c r="M364" s="137"/>
      <c r="N364" s="48"/>
      <c r="O364" s="48"/>
      <c r="P364" s="137"/>
      <c r="Q364" s="48"/>
      <c r="R364" s="40"/>
      <c r="S364" s="40"/>
      <c r="T364" s="40"/>
      <c r="U364" s="137"/>
      <c r="V364" s="48"/>
      <c r="W364" s="137"/>
      <c r="X364" s="48"/>
      <c r="Y364" s="137"/>
      <c r="Z364" s="137"/>
      <c r="AA364" s="48"/>
      <c r="AB364" s="35">
        <v>20000</v>
      </c>
      <c r="AC364" s="48">
        <v>29000</v>
      </c>
      <c r="AD364" s="137"/>
      <c r="AE364" s="137"/>
      <c r="AF364" s="137"/>
      <c r="AG364" s="48"/>
      <c r="AH364" s="137"/>
      <c r="AI364" s="137"/>
    </row>
    <row r="365" spans="1:35" s="37" customFormat="1" ht="13.5" customHeight="1" x14ac:dyDescent="0.25">
      <c r="A365" s="48">
        <v>29</v>
      </c>
      <c r="B365" s="166" t="s">
        <v>569</v>
      </c>
      <c r="C365" s="166" t="s">
        <v>568</v>
      </c>
      <c r="D365" s="150">
        <f t="shared" si="17"/>
        <v>134</v>
      </c>
      <c r="E365" s="35"/>
      <c r="F365" s="48"/>
      <c r="G365" s="35"/>
      <c r="H365" s="35"/>
      <c r="I365" s="35"/>
      <c r="J365" s="35"/>
      <c r="K365" s="35">
        <v>134</v>
      </c>
      <c r="L365" s="35"/>
      <c r="M365" s="35"/>
      <c r="N365" s="48"/>
      <c r="O365" s="35"/>
      <c r="P365" s="35"/>
      <c r="Q365" s="48"/>
      <c r="R365" s="40"/>
      <c r="S365" s="40"/>
      <c r="T365" s="40"/>
      <c r="U365" s="35"/>
      <c r="V365" s="48"/>
      <c r="W365" s="35"/>
      <c r="X365" s="48"/>
      <c r="Y365" s="35"/>
      <c r="Z365" s="35"/>
      <c r="AA365" s="48"/>
      <c r="AB365" s="35"/>
      <c r="AC365" s="48"/>
      <c r="AD365" s="35"/>
      <c r="AE365" s="35"/>
      <c r="AF365" s="35"/>
      <c r="AG365" s="48"/>
      <c r="AH365" s="35"/>
      <c r="AI365" s="35"/>
    </row>
    <row r="366" spans="1:35" s="37" customFormat="1" ht="13.5" customHeight="1" x14ac:dyDescent="0.25">
      <c r="A366" s="48">
        <v>30</v>
      </c>
      <c r="B366" s="166" t="s">
        <v>433</v>
      </c>
      <c r="C366" s="166" t="s">
        <v>432</v>
      </c>
      <c r="D366" s="150">
        <f t="shared" si="17"/>
        <v>1500</v>
      </c>
      <c r="E366" s="35"/>
      <c r="F366" s="48"/>
      <c r="G366" s="35"/>
      <c r="H366" s="35"/>
      <c r="I366" s="35"/>
      <c r="J366" s="35"/>
      <c r="K366" s="35"/>
      <c r="L366" s="35"/>
      <c r="M366" s="35"/>
      <c r="N366" s="48"/>
      <c r="O366" s="35"/>
      <c r="P366" s="35"/>
      <c r="Q366" s="48"/>
      <c r="R366" s="40"/>
      <c r="S366" s="40"/>
      <c r="T366" s="40"/>
      <c r="U366" s="35"/>
      <c r="V366" s="48"/>
      <c r="W366" s="35"/>
      <c r="X366" s="48">
        <v>1500</v>
      </c>
      <c r="Y366" s="35"/>
      <c r="Z366" s="35"/>
      <c r="AA366" s="48"/>
      <c r="AB366" s="35"/>
      <c r="AC366" s="48"/>
      <c r="AD366" s="35"/>
      <c r="AE366" s="35"/>
      <c r="AF366" s="35"/>
      <c r="AG366" s="48"/>
      <c r="AH366" s="35"/>
      <c r="AI366" s="35"/>
    </row>
    <row r="367" spans="1:35" s="37" customFormat="1" ht="13.5" customHeight="1" x14ac:dyDescent="0.25">
      <c r="A367" s="48">
        <v>31</v>
      </c>
      <c r="B367" s="176" t="s">
        <v>1218</v>
      </c>
      <c r="C367" s="176" t="s">
        <v>1217</v>
      </c>
      <c r="D367" s="150">
        <f t="shared" si="17"/>
        <v>300</v>
      </c>
      <c r="E367" s="35"/>
      <c r="F367" s="48"/>
      <c r="G367" s="35"/>
      <c r="H367" s="35"/>
      <c r="I367" s="35"/>
      <c r="J367" s="35"/>
      <c r="K367" s="35"/>
      <c r="L367" s="35"/>
      <c r="M367" s="35"/>
      <c r="N367" s="48"/>
      <c r="O367" s="35"/>
      <c r="P367" s="35"/>
      <c r="Q367" s="48"/>
      <c r="R367" s="40"/>
      <c r="S367" s="40"/>
      <c r="T367" s="40"/>
      <c r="U367" s="35"/>
      <c r="V367" s="48"/>
      <c r="W367" s="35"/>
      <c r="X367" s="48"/>
      <c r="Y367" s="35"/>
      <c r="Z367" s="35"/>
      <c r="AA367" s="48"/>
      <c r="AB367" s="35"/>
      <c r="AC367" s="48"/>
      <c r="AD367" s="35"/>
      <c r="AE367" s="35">
        <v>300</v>
      </c>
      <c r="AF367" s="35"/>
      <c r="AG367" s="48"/>
      <c r="AH367" s="35"/>
      <c r="AI367" s="35"/>
    </row>
    <row r="368" spans="1:35" s="37" customFormat="1" ht="13.5" customHeight="1" x14ac:dyDescent="0.25">
      <c r="A368" s="48">
        <v>32</v>
      </c>
      <c r="B368" s="166" t="s">
        <v>584</v>
      </c>
      <c r="C368" s="166" t="s">
        <v>583</v>
      </c>
      <c r="D368" s="150">
        <f t="shared" si="17"/>
        <v>22800</v>
      </c>
      <c r="E368" s="35"/>
      <c r="F368" s="48"/>
      <c r="G368" s="35"/>
      <c r="H368" s="35"/>
      <c r="I368" s="35">
        <v>1800</v>
      </c>
      <c r="J368" s="35"/>
      <c r="K368" s="35"/>
      <c r="L368" s="35"/>
      <c r="M368" s="35"/>
      <c r="N368" s="48"/>
      <c r="O368" s="35"/>
      <c r="P368" s="35"/>
      <c r="Q368" s="48"/>
      <c r="R368" s="40"/>
      <c r="S368" s="40"/>
      <c r="T368" s="40"/>
      <c r="U368" s="35"/>
      <c r="V368" s="48"/>
      <c r="W368" s="35"/>
      <c r="X368" s="48"/>
      <c r="Y368" s="35"/>
      <c r="Z368" s="35"/>
      <c r="AA368" s="48"/>
      <c r="AB368" s="35"/>
      <c r="AC368" s="48"/>
      <c r="AD368" s="35"/>
      <c r="AE368" s="35"/>
      <c r="AF368" s="35"/>
      <c r="AG368" s="48"/>
      <c r="AH368" s="35">
        <v>21000</v>
      </c>
      <c r="AI368" s="35"/>
    </row>
    <row r="369" spans="1:35" s="37" customFormat="1" ht="13.5" customHeight="1" x14ac:dyDescent="0.25">
      <c r="A369" s="48">
        <v>33</v>
      </c>
      <c r="B369" s="166" t="s">
        <v>350</v>
      </c>
      <c r="C369" s="166" t="s">
        <v>351</v>
      </c>
      <c r="D369" s="150">
        <f t="shared" ref="D369:D400" si="18">SUM(E369:AI369)</f>
        <v>11300</v>
      </c>
      <c r="E369" s="35"/>
      <c r="F369" s="48"/>
      <c r="G369" s="35"/>
      <c r="H369" s="35">
        <v>10000</v>
      </c>
      <c r="I369" s="35"/>
      <c r="J369" s="35"/>
      <c r="K369" s="35"/>
      <c r="L369" s="35"/>
      <c r="M369" s="35"/>
      <c r="N369" s="48"/>
      <c r="O369" s="35"/>
      <c r="P369" s="35"/>
      <c r="Q369" s="48"/>
      <c r="R369" s="40"/>
      <c r="S369" s="40"/>
      <c r="T369" s="40"/>
      <c r="U369" s="35"/>
      <c r="V369" s="48"/>
      <c r="W369" s="35"/>
      <c r="X369" s="48"/>
      <c r="Y369" s="35">
        <v>1300</v>
      </c>
      <c r="Z369" s="35"/>
      <c r="AA369" s="48"/>
      <c r="AB369" s="35"/>
      <c r="AC369" s="48"/>
      <c r="AD369" s="35"/>
      <c r="AE369" s="35"/>
      <c r="AF369" s="35"/>
      <c r="AG369" s="48"/>
      <c r="AH369" s="35"/>
      <c r="AI369" s="35"/>
    </row>
    <row r="370" spans="1:35" s="37" customFormat="1" ht="13.5" customHeight="1" x14ac:dyDescent="0.25">
      <c r="A370" s="48">
        <v>34</v>
      </c>
      <c r="B370" s="166" t="s">
        <v>473</v>
      </c>
      <c r="C370" s="166" t="s">
        <v>472</v>
      </c>
      <c r="D370" s="150">
        <f t="shared" si="18"/>
        <v>1940</v>
      </c>
      <c r="E370" s="35"/>
      <c r="F370" s="48"/>
      <c r="G370" s="35"/>
      <c r="H370" s="35"/>
      <c r="I370" s="35"/>
      <c r="J370" s="35"/>
      <c r="K370" s="35"/>
      <c r="L370" s="35"/>
      <c r="M370" s="35">
        <v>1940</v>
      </c>
      <c r="N370" s="48"/>
      <c r="O370" s="35"/>
      <c r="P370" s="35"/>
      <c r="Q370" s="48"/>
      <c r="R370" s="40"/>
      <c r="S370" s="40"/>
      <c r="T370" s="40"/>
      <c r="U370" s="35"/>
      <c r="V370" s="48"/>
      <c r="W370" s="35"/>
      <c r="X370" s="48"/>
      <c r="Y370" s="35"/>
      <c r="Z370" s="35"/>
      <c r="AA370" s="48"/>
      <c r="AB370" s="35"/>
      <c r="AC370" s="48"/>
      <c r="AD370" s="35"/>
      <c r="AE370" s="35"/>
      <c r="AF370" s="35"/>
      <c r="AG370" s="48"/>
      <c r="AH370" s="35"/>
      <c r="AI370" s="35"/>
    </row>
    <row r="371" spans="1:35" s="37" customFormat="1" ht="13.5" customHeight="1" x14ac:dyDescent="0.25">
      <c r="A371" s="48">
        <v>35</v>
      </c>
      <c r="B371" s="176" t="s">
        <v>1159</v>
      </c>
      <c r="C371" s="176" t="s">
        <v>1157</v>
      </c>
      <c r="D371" s="150">
        <f t="shared" si="18"/>
        <v>10000</v>
      </c>
      <c r="E371" s="35"/>
      <c r="F371" s="48"/>
      <c r="G371" s="35"/>
      <c r="H371" s="35"/>
      <c r="I371" s="35"/>
      <c r="J371" s="35"/>
      <c r="K371" s="35"/>
      <c r="L371" s="35"/>
      <c r="M371" s="35"/>
      <c r="N371" s="48"/>
      <c r="O371" s="35"/>
      <c r="P371" s="35"/>
      <c r="Q371" s="48"/>
      <c r="R371" s="40"/>
      <c r="S371" s="40"/>
      <c r="T371" s="40"/>
      <c r="U371" s="35"/>
      <c r="V371" s="48"/>
      <c r="W371" s="35"/>
      <c r="X371" s="48"/>
      <c r="Y371" s="35"/>
      <c r="Z371" s="35"/>
      <c r="AA371" s="48">
        <v>10000</v>
      </c>
      <c r="AB371" s="35"/>
      <c r="AC371" s="48"/>
      <c r="AD371" s="35"/>
      <c r="AE371" s="35"/>
      <c r="AF371" s="35"/>
      <c r="AG371" s="48"/>
      <c r="AH371" s="35"/>
      <c r="AI371" s="35"/>
    </row>
    <row r="372" spans="1:35" s="37" customFormat="1" ht="13.5" customHeight="1" x14ac:dyDescent="0.25">
      <c r="A372" s="48">
        <v>36</v>
      </c>
      <c r="B372" s="176" t="s">
        <v>1160</v>
      </c>
      <c r="C372" s="176" t="s">
        <v>1158</v>
      </c>
      <c r="D372" s="150">
        <f t="shared" si="18"/>
        <v>10000</v>
      </c>
      <c r="E372" s="35"/>
      <c r="F372" s="48"/>
      <c r="G372" s="35"/>
      <c r="H372" s="35"/>
      <c r="I372" s="35"/>
      <c r="J372" s="35"/>
      <c r="K372" s="35"/>
      <c r="L372" s="35"/>
      <c r="M372" s="35"/>
      <c r="N372" s="48"/>
      <c r="O372" s="35"/>
      <c r="P372" s="35"/>
      <c r="Q372" s="48"/>
      <c r="R372" s="40"/>
      <c r="S372" s="40"/>
      <c r="T372" s="40"/>
      <c r="U372" s="35"/>
      <c r="V372" s="48"/>
      <c r="W372" s="35"/>
      <c r="X372" s="48"/>
      <c r="Y372" s="35"/>
      <c r="Z372" s="35"/>
      <c r="AA372" s="48">
        <v>10000</v>
      </c>
      <c r="AB372" s="35"/>
      <c r="AC372" s="48"/>
      <c r="AD372" s="35"/>
      <c r="AE372" s="35"/>
      <c r="AF372" s="35"/>
      <c r="AG372" s="48"/>
      <c r="AH372" s="35"/>
      <c r="AI372" s="35"/>
    </row>
    <row r="373" spans="1:35" s="37" customFormat="1" ht="13.5" customHeight="1" x14ac:dyDescent="0.25">
      <c r="A373" s="48">
        <v>37</v>
      </c>
      <c r="B373" s="176" t="s">
        <v>1162</v>
      </c>
      <c r="C373" s="176" t="s">
        <v>1161</v>
      </c>
      <c r="D373" s="150">
        <f t="shared" si="18"/>
        <v>6000</v>
      </c>
      <c r="E373" s="35"/>
      <c r="F373" s="48"/>
      <c r="G373" s="35"/>
      <c r="H373" s="35"/>
      <c r="I373" s="35"/>
      <c r="J373" s="35"/>
      <c r="K373" s="35"/>
      <c r="L373" s="35"/>
      <c r="M373" s="35"/>
      <c r="N373" s="48"/>
      <c r="O373" s="35"/>
      <c r="P373" s="35"/>
      <c r="Q373" s="48"/>
      <c r="R373" s="40"/>
      <c r="S373" s="40"/>
      <c r="T373" s="40"/>
      <c r="U373" s="35"/>
      <c r="V373" s="48"/>
      <c r="W373" s="35"/>
      <c r="X373" s="48"/>
      <c r="Y373" s="35"/>
      <c r="Z373" s="35"/>
      <c r="AA373" s="48">
        <v>6000</v>
      </c>
      <c r="AB373" s="35"/>
      <c r="AC373" s="48"/>
      <c r="AD373" s="35"/>
      <c r="AE373" s="35"/>
      <c r="AF373" s="35"/>
      <c r="AG373" s="48"/>
      <c r="AH373" s="35"/>
      <c r="AI373" s="35"/>
    </row>
    <row r="374" spans="1:35" s="37" customFormat="1" ht="13.5" customHeight="1" x14ac:dyDescent="0.25">
      <c r="A374" s="48">
        <v>38</v>
      </c>
      <c r="B374" s="176" t="s">
        <v>1189</v>
      </c>
      <c r="C374" s="176" t="s">
        <v>1185</v>
      </c>
      <c r="D374" s="150">
        <f t="shared" si="18"/>
        <v>1000</v>
      </c>
      <c r="E374" s="35"/>
      <c r="F374" s="48"/>
      <c r="G374" s="35"/>
      <c r="H374" s="35"/>
      <c r="I374" s="35"/>
      <c r="J374" s="35"/>
      <c r="K374" s="35"/>
      <c r="L374" s="35"/>
      <c r="M374" s="35"/>
      <c r="N374" s="48"/>
      <c r="O374" s="35"/>
      <c r="P374" s="35"/>
      <c r="Q374" s="48"/>
      <c r="R374" s="40"/>
      <c r="S374" s="40"/>
      <c r="T374" s="40"/>
      <c r="U374" s="35"/>
      <c r="V374" s="48"/>
      <c r="W374" s="35"/>
      <c r="X374" s="48"/>
      <c r="Y374" s="35"/>
      <c r="Z374" s="35"/>
      <c r="AA374" s="48"/>
      <c r="AB374" s="35"/>
      <c r="AC374" s="48"/>
      <c r="AD374" s="35">
        <v>1000</v>
      </c>
      <c r="AE374" s="35"/>
      <c r="AF374" s="35"/>
      <c r="AG374" s="48"/>
      <c r="AH374" s="35"/>
      <c r="AI374" s="35"/>
    </row>
    <row r="375" spans="1:35" s="37" customFormat="1" ht="13.5" customHeight="1" x14ac:dyDescent="0.25">
      <c r="A375" s="48">
        <v>39</v>
      </c>
      <c r="B375" s="176" t="s">
        <v>1190</v>
      </c>
      <c r="C375" s="176" t="s">
        <v>1186</v>
      </c>
      <c r="D375" s="150">
        <f t="shared" si="18"/>
        <v>1000</v>
      </c>
      <c r="E375" s="146"/>
      <c r="F375" s="48"/>
      <c r="G375" s="146"/>
      <c r="H375" s="146"/>
      <c r="I375" s="35"/>
      <c r="J375" s="146"/>
      <c r="K375" s="146"/>
      <c r="L375" s="35"/>
      <c r="M375" s="146"/>
      <c r="N375" s="48"/>
      <c r="O375" s="146"/>
      <c r="P375" s="146"/>
      <c r="Q375" s="48"/>
      <c r="R375" s="40"/>
      <c r="S375" s="40"/>
      <c r="T375" s="40"/>
      <c r="U375" s="146"/>
      <c r="V375" s="48"/>
      <c r="W375" s="146"/>
      <c r="X375" s="48"/>
      <c r="Y375" s="146"/>
      <c r="Z375" s="146"/>
      <c r="AA375" s="48"/>
      <c r="AB375" s="146"/>
      <c r="AC375" s="48"/>
      <c r="AD375" s="146">
        <v>1000</v>
      </c>
      <c r="AE375" s="146"/>
      <c r="AF375" s="146"/>
      <c r="AG375" s="48"/>
      <c r="AH375" s="146"/>
      <c r="AI375" s="146"/>
    </row>
    <row r="376" spans="1:35" ht="13.5" customHeight="1" x14ac:dyDescent="0.25">
      <c r="A376" s="48">
        <v>40</v>
      </c>
      <c r="B376" s="176" t="s">
        <v>1191</v>
      </c>
      <c r="C376" s="176" t="s">
        <v>1187</v>
      </c>
      <c r="D376" s="150">
        <f t="shared" si="18"/>
        <v>1000</v>
      </c>
      <c r="E376" s="48"/>
      <c r="F376" s="48"/>
      <c r="G376" s="35"/>
      <c r="H376" s="35"/>
      <c r="I376" s="35"/>
      <c r="J376" s="35"/>
      <c r="K376" s="35"/>
      <c r="L376" s="35"/>
      <c r="M376" s="48"/>
      <c r="N376" s="48"/>
      <c r="O376" s="48"/>
      <c r="P376" s="48"/>
      <c r="Q376" s="48"/>
      <c r="R376" s="40"/>
      <c r="S376" s="40"/>
      <c r="T376" s="40"/>
      <c r="U376" s="40"/>
      <c r="V376" s="48"/>
      <c r="W376" s="48"/>
      <c r="X376" s="48"/>
      <c r="Y376" s="48"/>
      <c r="Z376" s="48"/>
      <c r="AA376" s="48"/>
      <c r="AB376" s="48"/>
      <c r="AC376" s="48"/>
      <c r="AD376" s="48">
        <v>1000</v>
      </c>
      <c r="AE376" s="48"/>
      <c r="AF376" s="48"/>
      <c r="AG376" s="48"/>
      <c r="AH376" s="48"/>
      <c r="AI376" s="48"/>
    </row>
    <row r="377" spans="1:35" x14ac:dyDescent="0.25">
      <c r="A377" s="48">
        <v>41</v>
      </c>
      <c r="B377" s="176" t="s">
        <v>1192</v>
      </c>
      <c r="C377" s="176" t="s">
        <v>1188</v>
      </c>
      <c r="D377" s="150">
        <f t="shared" si="18"/>
        <v>17000</v>
      </c>
      <c r="E377" s="49"/>
      <c r="F377" s="48"/>
      <c r="G377" s="49"/>
      <c r="H377" s="49"/>
      <c r="I377" s="35"/>
      <c r="J377" s="49"/>
      <c r="K377" s="49"/>
      <c r="L377" s="35"/>
      <c r="M377" s="49"/>
      <c r="N377" s="48"/>
      <c r="O377" s="35"/>
      <c r="P377" s="35"/>
      <c r="Q377" s="48"/>
      <c r="R377" s="40"/>
      <c r="S377" s="40"/>
      <c r="T377" s="40"/>
      <c r="U377" s="49"/>
      <c r="V377" s="48"/>
      <c r="W377" s="49"/>
      <c r="X377" s="48"/>
      <c r="Y377" s="49"/>
      <c r="Z377" s="35"/>
      <c r="AA377" s="48"/>
      <c r="AB377" s="49"/>
      <c r="AC377" s="48"/>
      <c r="AD377" s="49">
        <v>17000</v>
      </c>
      <c r="AE377" s="49"/>
      <c r="AF377" s="49"/>
      <c r="AG377" s="48"/>
      <c r="AH377" s="49"/>
      <c r="AI377" s="49"/>
    </row>
    <row r="378" spans="1:35" s="37" customFormat="1" x14ac:dyDescent="0.25">
      <c r="A378" s="48">
        <v>42</v>
      </c>
      <c r="B378" s="166" t="s">
        <v>516</v>
      </c>
      <c r="C378" s="166" t="s">
        <v>515</v>
      </c>
      <c r="D378" s="150">
        <f t="shared" si="18"/>
        <v>8860</v>
      </c>
      <c r="E378" s="35"/>
      <c r="F378" s="48"/>
      <c r="G378" s="35"/>
      <c r="H378" s="35">
        <v>8860</v>
      </c>
      <c r="I378" s="35"/>
      <c r="J378" s="35"/>
      <c r="K378" s="35"/>
      <c r="L378" s="35"/>
      <c r="M378" s="136"/>
      <c r="N378" s="48"/>
      <c r="O378" s="35"/>
      <c r="P378" s="136"/>
      <c r="Q378" s="48"/>
      <c r="R378" s="40"/>
      <c r="S378" s="40"/>
      <c r="T378" s="40"/>
      <c r="U378" s="35"/>
      <c r="V378" s="48"/>
      <c r="W378" s="136"/>
      <c r="X378" s="48"/>
      <c r="Y378" s="35"/>
      <c r="Z378" s="35"/>
      <c r="AA378" s="48"/>
      <c r="AB378" s="35"/>
      <c r="AC378" s="48"/>
      <c r="AD378" s="35"/>
      <c r="AE378" s="35"/>
      <c r="AF378" s="35"/>
      <c r="AG378" s="48"/>
      <c r="AH378" s="35"/>
      <c r="AI378" s="49"/>
    </row>
    <row r="379" spans="1:35" s="37" customFormat="1" ht="13.5" customHeight="1" x14ac:dyDescent="0.25">
      <c r="A379" s="48">
        <v>43</v>
      </c>
      <c r="B379" s="166" t="s">
        <v>518</v>
      </c>
      <c r="C379" s="166" t="s">
        <v>517</v>
      </c>
      <c r="D379" s="150">
        <f t="shared" si="18"/>
        <v>2800</v>
      </c>
      <c r="E379" s="35"/>
      <c r="F379" s="48"/>
      <c r="G379" s="35"/>
      <c r="H379" s="35"/>
      <c r="I379" s="35"/>
      <c r="J379" s="35">
        <v>1800</v>
      </c>
      <c r="K379" s="35"/>
      <c r="L379" s="35"/>
      <c r="M379" s="35"/>
      <c r="N379" s="48"/>
      <c r="O379" s="35"/>
      <c r="P379" s="35"/>
      <c r="Q379" s="48"/>
      <c r="R379" s="40"/>
      <c r="S379" s="40"/>
      <c r="T379" s="40"/>
      <c r="U379" s="35"/>
      <c r="V379" s="48"/>
      <c r="W379" s="35"/>
      <c r="X379" s="48"/>
      <c r="Y379" s="35"/>
      <c r="Z379" s="35"/>
      <c r="AA379" s="48"/>
      <c r="AB379" s="35"/>
      <c r="AC379" s="48"/>
      <c r="AD379" s="35"/>
      <c r="AE379" s="35"/>
      <c r="AF379" s="35"/>
      <c r="AG379" s="48">
        <v>1000</v>
      </c>
      <c r="AH379" s="35"/>
      <c r="AI379" s="35"/>
    </row>
    <row r="380" spans="1:35" s="37" customFormat="1" ht="13.5" customHeight="1" x14ac:dyDescent="0.25">
      <c r="A380" s="48">
        <v>44</v>
      </c>
      <c r="B380" s="176" t="s">
        <v>1224</v>
      </c>
      <c r="C380" s="176" t="s">
        <v>1223</v>
      </c>
      <c r="D380" s="150">
        <f t="shared" si="18"/>
        <v>600</v>
      </c>
      <c r="E380" s="35"/>
      <c r="F380" s="48"/>
      <c r="G380" s="35"/>
      <c r="H380" s="35"/>
      <c r="I380" s="35"/>
      <c r="J380" s="35"/>
      <c r="K380" s="35"/>
      <c r="L380" s="35"/>
      <c r="M380" s="35"/>
      <c r="N380" s="48"/>
      <c r="O380" s="35"/>
      <c r="P380" s="35"/>
      <c r="Q380" s="48"/>
      <c r="R380" s="40"/>
      <c r="S380" s="40"/>
      <c r="T380" s="40"/>
      <c r="U380" s="35"/>
      <c r="V380" s="48"/>
      <c r="W380" s="35"/>
      <c r="X380" s="48"/>
      <c r="Y380" s="35"/>
      <c r="Z380" s="35"/>
      <c r="AA380" s="48"/>
      <c r="AB380" s="35"/>
      <c r="AC380" s="48"/>
      <c r="AD380" s="35"/>
      <c r="AE380" s="35"/>
      <c r="AF380" s="35"/>
      <c r="AG380" s="48">
        <v>600</v>
      </c>
      <c r="AH380" s="35"/>
      <c r="AI380" s="35"/>
    </row>
    <row r="381" spans="1:35" s="37" customFormat="1" ht="13.5" customHeight="1" x14ac:dyDescent="0.25">
      <c r="A381" s="48">
        <v>45</v>
      </c>
      <c r="B381" s="166" t="s">
        <v>520</v>
      </c>
      <c r="C381" s="166" t="s">
        <v>519</v>
      </c>
      <c r="D381" s="150">
        <f t="shared" si="18"/>
        <v>0</v>
      </c>
      <c r="E381" s="35"/>
      <c r="F381" s="48"/>
      <c r="G381" s="35"/>
      <c r="H381" s="35"/>
      <c r="I381" s="35"/>
      <c r="J381" s="35"/>
      <c r="K381" s="35"/>
      <c r="L381" s="35"/>
      <c r="M381" s="35"/>
      <c r="N381" s="48"/>
      <c r="O381" s="35"/>
      <c r="P381" s="35"/>
      <c r="Q381" s="48"/>
      <c r="R381" s="40"/>
      <c r="S381" s="40"/>
      <c r="T381" s="40"/>
      <c r="U381" s="35"/>
      <c r="V381" s="48"/>
      <c r="W381" s="35"/>
      <c r="X381" s="48"/>
      <c r="Y381" s="35"/>
      <c r="Z381" s="35"/>
      <c r="AA381" s="48"/>
      <c r="AB381" s="35"/>
      <c r="AC381" s="48"/>
      <c r="AD381" s="35"/>
      <c r="AE381" s="35"/>
      <c r="AF381" s="35"/>
      <c r="AG381" s="48"/>
      <c r="AH381" s="35"/>
      <c r="AI381" s="35"/>
    </row>
    <row r="382" spans="1:35" ht="13.5" customHeight="1" x14ac:dyDescent="0.25">
      <c r="A382" s="48">
        <v>46</v>
      </c>
      <c r="B382" s="166" t="s">
        <v>748</v>
      </c>
      <c r="C382" s="166" t="s">
        <v>747</v>
      </c>
      <c r="D382" s="150">
        <f t="shared" si="18"/>
        <v>0</v>
      </c>
      <c r="E382" s="137"/>
      <c r="F382" s="48"/>
      <c r="G382" s="137"/>
      <c r="H382" s="137"/>
      <c r="I382" s="35"/>
      <c r="J382" s="137"/>
      <c r="K382" s="137"/>
      <c r="L382" s="35"/>
      <c r="M382" s="137"/>
      <c r="N382" s="48"/>
      <c r="O382" s="137"/>
      <c r="P382" s="137"/>
      <c r="Q382" s="48"/>
      <c r="R382" s="40"/>
      <c r="S382" s="40"/>
      <c r="T382" s="40"/>
      <c r="U382" s="137"/>
      <c r="V382" s="48"/>
      <c r="W382" s="35"/>
      <c r="X382" s="48"/>
      <c r="Y382" s="35"/>
      <c r="Z382" s="35"/>
      <c r="AA382" s="48"/>
      <c r="AB382" s="137"/>
      <c r="AC382" s="48"/>
      <c r="AD382" s="35"/>
      <c r="AE382" s="35"/>
      <c r="AF382" s="137"/>
      <c r="AG382" s="48"/>
      <c r="AH382" s="137"/>
      <c r="AI382" s="137"/>
    </row>
    <row r="383" spans="1:35" s="37" customFormat="1" ht="13.5" customHeight="1" x14ac:dyDescent="0.25">
      <c r="A383" s="48">
        <v>47</v>
      </c>
      <c r="B383" s="166" t="s">
        <v>340</v>
      </c>
      <c r="C383" s="166" t="s">
        <v>339</v>
      </c>
      <c r="D383" s="150">
        <f t="shared" si="18"/>
        <v>200000</v>
      </c>
      <c r="E383" s="35"/>
      <c r="F383" s="48"/>
      <c r="G383" s="137"/>
      <c r="H383" s="35"/>
      <c r="I383" s="35"/>
      <c r="J383" s="35"/>
      <c r="K383" s="35">
        <v>100000</v>
      </c>
      <c r="L383" s="35"/>
      <c r="M383" s="35"/>
      <c r="N383" s="48"/>
      <c r="O383" s="48">
        <v>50000</v>
      </c>
      <c r="P383" s="35">
        <v>50000</v>
      </c>
      <c r="Q383" s="48"/>
      <c r="R383" s="40"/>
      <c r="S383" s="40"/>
      <c r="T383" s="40"/>
      <c r="U383" s="35"/>
      <c r="V383" s="48"/>
      <c r="W383" s="137"/>
      <c r="X383" s="48"/>
      <c r="Y383" s="137"/>
      <c r="Z383" s="35"/>
      <c r="AA383" s="48"/>
      <c r="AB383" s="35"/>
      <c r="AC383" s="48"/>
      <c r="AD383" s="137"/>
      <c r="AE383" s="35"/>
      <c r="AF383" s="35"/>
      <c r="AG383" s="48"/>
      <c r="AH383" s="35"/>
      <c r="AI383" s="137"/>
    </row>
    <row r="384" spans="1:35" s="37" customFormat="1" ht="13.5" customHeight="1" x14ac:dyDescent="0.25">
      <c r="A384" s="48">
        <v>48</v>
      </c>
      <c r="B384" s="166" t="s">
        <v>696</v>
      </c>
      <c r="C384" s="166" t="s">
        <v>695</v>
      </c>
      <c r="D384" s="150">
        <f t="shared" si="18"/>
        <v>0</v>
      </c>
      <c r="E384" s="137"/>
      <c r="F384" s="147"/>
      <c r="G384" s="147"/>
      <c r="H384" s="35"/>
      <c r="I384" s="147"/>
      <c r="J384" s="147"/>
      <c r="K384" s="147"/>
      <c r="L384" s="35"/>
      <c r="M384" s="147"/>
      <c r="N384" s="48"/>
      <c r="O384" s="147"/>
      <c r="P384" s="147"/>
      <c r="Q384" s="48"/>
      <c r="R384" s="40"/>
      <c r="S384" s="147"/>
      <c r="T384" s="40"/>
      <c r="U384" s="147"/>
      <c r="V384" s="48"/>
      <c r="W384" s="147"/>
      <c r="X384" s="48"/>
      <c r="Y384" s="147"/>
      <c r="Z384" s="147"/>
      <c r="AA384" s="48"/>
      <c r="AB384" s="35"/>
      <c r="AC384" s="48"/>
      <c r="AD384" s="35"/>
      <c r="AE384" s="35"/>
      <c r="AF384" s="147"/>
      <c r="AG384" s="48"/>
      <c r="AH384" s="147"/>
      <c r="AI384" s="147"/>
    </row>
    <row r="385" spans="1:35" x14ac:dyDescent="0.25">
      <c r="A385" s="48">
        <v>49</v>
      </c>
      <c r="B385" s="176" t="s">
        <v>1020</v>
      </c>
      <c r="C385" s="176" t="s">
        <v>1019</v>
      </c>
      <c r="D385" s="150">
        <f t="shared" si="18"/>
        <v>9460</v>
      </c>
      <c r="E385" s="137"/>
      <c r="F385" s="35"/>
      <c r="G385" s="35"/>
      <c r="H385" s="35"/>
      <c r="I385" s="35"/>
      <c r="J385" s="35"/>
      <c r="K385" s="35"/>
      <c r="L385" s="35"/>
      <c r="M385" s="35">
        <v>1960</v>
      </c>
      <c r="N385" s="48"/>
      <c r="O385" s="35"/>
      <c r="P385" s="35"/>
      <c r="Q385" s="48"/>
      <c r="R385" s="40"/>
      <c r="S385" s="35"/>
      <c r="T385" s="40"/>
      <c r="U385" s="35"/>
      <c r="V385" s="48"/>
      <c r="W385" s="35"/>
      <c r="X385" s="48"/>
      <c r="Y385" s="35"/>
      <c r="Z385" s="35"/>
      <c r="AA385" s="48"/>
      <c r="AB385" s="35"/>
      <c r="AC385" s="48"/>
      <c r="AD385" s="35"/>
      <c r="AE385" s="35"/>
      <c r="AF385" s="35"/>
      <c r="AG385" s="48"/>
      <c r="AH385" s="35">
        <v>7500</v>
      </c>
      <c r="AI385" s="35"/>
    </row>
    <row r="386" spans="1:35" x14ac:dyDescent="0.25">
      <c r="A386" s="48">
        <v>50</v>
      </c>
      <c r="B386" s="176" t="s">
        <v>1022</v>
      </c>
      <c r="C386" s="176" t="s">
        <v>1021</v>
      </c>
      <c r="D386" s="150">
        <f t="shared" si="18"/>
        <v>1410</v>
      </c>
      <c r="E386" s="35"/>
      <c r="F386" s="35"/>
      <c r="G386" s="35"/>
      <c r="H386" s="35"/>
      <c r="I386" s="35"/>
      <c r="J386" s="35"/>
      <c r="K386" s="35"/>
      <c r="L386" s="35"/>
      <c r="M386" s="35">
        <v>1410</v>
      </c>
      <c r="N386" s="48"/>
      <c r="O386" s="35"/>
      <c r="P386" s="35"/>
      <c r="Q386" s="48"/>
      <c r="R386" s="40"/>
      <c r="S386" s="35"/>
      <c r="T386" s="40"/>
      <c r="U386" s="35"/>
      <c r="V386" s="48"/>
      <c r="W386" s="35"/>
      <c r="X386" s="48"/>
      <c r="Y386" s="35"/>
      <c r="Z386" s="35"/>
      <c r="AA386" s="48"/>
      <c r="AB386" s="35"/>
      <c r="AC386" s="48"/>
      <c r="AD386" s="35"/>
      <c r="AE386" s="35"/>
      <c r="AF386" s="35"/>
      <c r="AG386" s="48"/>
      <c r="AH386" s="35"/>
      <c r="AI386" s="35"/>
    </row>
    <row r="387" spans="1:35" x14ac:dyDescent="0.25">
      <c r="A387" s="48">
        <v>51</v>
      </c>
      <c r="B387" s="166" t="s">
        <v>699</v>
      </c>
      <c r="C387" s="166" t="s">
        <v>697</v>
      </c>
      <c r="D387" s="150">
        <f t="shared" si="18"/>
        <v>0</v>
      </c>
      <c r="E387" s="35"/>
      <c r="F387" s="35"/>
      <c r="G387" s="35"/>
      <c r="H387" s="35"/>
      <c r="I387" s="35"/>
      <c r="J387" s="35"/>
      <c r="K387" s="35"/>
      <c r="L387" s="35"/>
      <c r="M387" s="35"/>
      <c r="N387" s="48"/>
      <c r="O387" s="35"/>
      <c r="P387" s="35"/>
      <c r="Q387" s="48"/>
      <c r="R387" s="40"/>
      <c r="S387" s="35"/>
      <c r="T387" s="40"/>
      <c r="U387" s="35"/>
      <c r="V387" s="48"/>
      <c r="W387" s="35"/>
      <c r="X387" s="48"/>
      <c r="Y387" s="35"/>
      <c r="Z387" s="35"/>
      <c r="AA387" s="48"/>
      <c r="AB387" s="35"/>
      <c r="AC387" s="48"/>
      <c r="AD387" s="35"/>
      <c r="AE387" s="35"/>
      <c r="AF387" s="35"/>
      <c r="AG387" s="48"/>
      <c r="AH387" s="35"/>
      <c r="AI387" s="35"/>
    </row>
    <row r="388" spans="1:35" x14ac:dyDescent="0.25">
      <c r="A388" s="48">
        <v>52</v>
      </c>
      <c r="B388" s="166" t="s">
        <v>700</v>
      </c>
      <c r="C388" s="166" t="s">
        <v>698</v>
      </c>
      <c r="D388" s="150">
        <f t="shared" si="18"/>
        <v>0</v>
      </c>
      <c r="E388" s="35"/>
      <c r="F388" s="35"/>
      <c r="G388" s="35"/>
      <c r="H388" s="35"/>
      <c r="I388" s="35"/>
      <c r="J388" s="35"/>
      <c r="K388" s="35"/>
      <c r="L388" s="35"/>
      <c r="M388" s="35"/>
      <c r="N388" s="48"/>
      <c r="O388" s="35"/>
      <c r="P388" s="35"/>
      <c r="Q388" s="48"/>
      <c r="R388" s="40"/>
      <c r="S388" s="35"/>
      <c r="T388" s="40"/>
      <c r="U388" s="35"/>
      <c r="V388" s="48"/>
      <c r="W388" s="35"/>
      <c r="X388" s="48"/>
      <c r="Y388" s="35"/>
      <c r="Z388" s="35"/>
      <c r="AA388" s="48"/>
      <c r="AB388" s="35"/>
      <c r="AC388" s="48"/>
      <c r="AD388" s="35"/>
      <c r="AE388" s="35"/>
      <c r="AF388" s="35"/>
      <c r="AG388" s="48"/>
      <c r="AH388" s="35"/>
      <c r="AI388" s="35"/>
    </row>
    <row r="389" spans="1:35" x14ac:dyDescent="0.25">
      <c r="A389" s="48">
        <v>53</v>
      </c>
      <c r="B389" s="166" t="s">
        <v>703</v>
      </c>
      <c r="C389" s="166" t="s">
        <v>701</v>
      </c>
      <c r="D389" s="150">
        <f t="shared" si="18"/>
        <v>0</v>
      </c>
      <c r="E389" s="35"/>
      <c r="F389" s="35"/>
      <c r="G389" s="35"/>
      <c r="H389" s="35"/>
      <c r="I389" s="35"/>
      <c r="J389" s="35"/>
      <c r="K389" s="35"/>
      <c r="L389" s="35"/>
      <c r="M389" s="35"/>
      <c r="N389" s="48"/>
      <c r="O389" s="35"/>
      <c r="P389" s="35"/>
      <c r="Q389" s="48"/>
      <c r="R389" s="40"/>
      <c r="S389" s="35"/>
      <c r="T389" s="40"/>
      <c r="U389" s="35"/>
      <c r="V389" s="48"/>
      <c r="W389" s="35"/>
      <c r="X389" s="48"/>
      <c r="Y389" s="35"/>
      <c r="Z389" s="35"/>
      <c r="AA389" s="48"/>
      <c r="AB389" s="35"/>
      <c r="AC389" s="48"/>
      <c r="AD389" s="35"/>
      <c r="AE389" s="35"/>
      <c r="AF389" s="35"/>
      <c r="AG389" s="48"/>
      <c r="AH389" s="35"/>
      <c r="AI389" s="35"/>
    </row>
    <row r="390" spans="1:35" x14ac:dyDescent="0.25">
      <c r="A390" s="48">
        <v>54</v>
      </c>
      <c r="B390" s="166" t="s">
        <v>704</v>
      </c>
      <c r="C390" s="166" t="s">
        <v>702</v>
      </c>
      <c r="D390" s="150">
        <f t="shared" si="18"/>
        <v>4340</v>
      </c>
      <c r="E390" s="35"/>
      <c r="F390" s="35"/>
      <c r="G390" s="35"/>
      <c r="H390" s="35"/>
      <c r="I390" s="35"/>
      <c r="J390" s="35"/>
      <c r="K390" s="35"/>
      <c r="L390" s="35"/>
      <c r="M390" s="35"/>
      <c r="N390" s="48"/>
      <c r="O390" s="35"/>
      <c r="P390" s="35"/>
      <c r="Q390" s="48"/>
      <c r="R390" s="40"/>
      <c r="S390" s="35"/>
      <c r="T390" s="40"/>
      <c r="U390" s="35"/>
      <c r="V390" s="48"/>
      <c r="W390" s="35"/>
      <c r="X390" s="48"/>
      <c r="Y390" s="35"/>
      <c r="Z390" s="35"/>
      <c r="AA390" s="48"/>
      <c r="AB390" s="35"/>
      <c r="AC390" s="48"/>
      <c r="AD390" s="35"/>
      <c r="AE390" s="35"/>
      <c r="AF390" s="35">
        <v>4340</v>
      </c>
      <c r="AG390" s="48"/>
      <c r="AH390" s="35"/>
      <c r="AI390" s="35"/>
    </row>
    <row r="391" spans="1:35" x14ac:dyDescent="0.25">
      <c r="A391" s="48">
        <v>55</v>
      </c>
      <c r="B391" s="166" t="s">
        <v>707</v>
      </c>
      <c r="C391" s="166" t="s">
        <v>705</v>
      </c>
      <c r="D391" s="150">
        <f t="shared" si="18"/>
        <v>0</v>
      </c>
      <c r="E391" s="35"/>
      <c r="F391" s="35"/>
      <c r="G391" s="35"/>
      <c r="H391" s="35"/>
      <c r="I391" s="35"/>
      <c r="J391" s="35"/>
      <c r="K391" s="35"/>
      <c r="L391" s="35"/>
      <c r="M391" s="35"/>
      <c r="N391" s="48"/>
      <c r="O391" s="35"/>
      <c r="P391" s="35"/>
      <c r="Q391" s="48"/>
      <c r="R391" s="40"/>
      <c r="S391" s="35"/>
      <c r="T391" s="40"/>
      <c r="U391" s="35"/>
      <c r="V391" s="48"/>
      <c r="W391" s="35"/>
      <c r="X391" s="48"/>
      <c r="Y391" s="35"/>
      <c r="Z391" s="35"/>
      <c r="AA391" s="48"/>
      <c r="AB391" s="35"/>
      <c r="AC391" s="48"/>
      <c r="AD391" s="35"/>
      <c r="AE391" s="35"/>
      <c r="AF391" s="35"/>
      <c r="AG391" s="48"/>
      <c r="AH391" s="35"/>
      <c r="AI391" s="35"/>
    </row>
    <row r="392" spans="1:35" x14ac:dyDescent="0.25">
      <c r="A392" s="48">
        <v>56</v>
      </c>
      <c r="B392" s="166" t="s">
        <v>708</v>
      </c>
      <c r="C392" s="166" t="s">
        <v>706</v>
      </c>
      <c r="D392" s="150">
        <f t="shared" si="18"/>
        <v>3000</v>
      </c>
      <c r="E392" s="35"/>
      <c r="F392" s="35"/>
      <c r="G392" s="35"/>
      <c r="H392" s="35"/>
      <c r="I392" s="35"/>
      <c r="J392" s="35"/>
      <c r="K392" s="35"/>
      <c r="L392" s="35"/>
      <c r="M392" s="35"/>
      <c r="N392" s="48"/>
      <c r="O392" s="35"/>
      <c r="P392" s="35"/>
      <c r="Q392" s="48"/>
      <c r="R392" s="40"/>
      <c r="S392" s="35"/>
      <c r="T392" s="40"/>
      <c r="U392" s="35"/>
      <c r="V392" s="48"/>
      <c r="W392" s="35"/>
      <c r="X392" s="48"/>
      <c r="Y392" s="35"/>
      <c r="Z392" s="35"/>
      <c r="AA392" s="48"/>
      <c r="AB392" s="35">
        <v>3000</v>
      </c>
      <c r="AC392" s="48"/>
      <c r="AD392" s="35"/>
      <c r="AE392" s="35"/>
      <c r="AF392" s="35"/>
      <c r="AG392" s="48"/>
      <c r="AH392" s="35"/>
      <c r="AI392" s="35"/>
    </row>
    <row r="393" spans="1:35" x14ac:dyDescent="0.25">
      <c r="A393" s="48">
        <v>57</v>
      </c>
      <c r="B393" s="166" t="s">
        <v>710</v>
      </c>
      <c r="C393" s="166" t="s">
        <v>709</v>
      </c>
      <c r="D393" s="150">
        <f t="shared" si="18"/>
        <v>0</v>
      </c>
      <c r="E393" s="35"/>
      <c r="F393" s="35"/>
      <c r="G393" s="35"/>
      <c r="H393" s="35"/>
      <c r="I393" s="35"/>
      <c r="J393" s="35"/>
      <c r="K393" s="35"/>
      <c r="L393" s="35"/>
      <c r="M393" s="35"/>
      <c r="N393" s="48"/>
      <c r="O393" s="35"/>
      <c r="P393" s="35"/>
      <c r="Q393" s="48"/>
      <c r="R393" s="40"/>
      <c r="S393" s="35"/>
      <c r="T393" s="40"/>
      <c r="U393" s="35"/>
      <c r="V393" s="48"/>
      <c r="W393" s="35"/>
      <c r="X393" s="48"/>
      <c r="Y393" s="35"/>
      <c r="Z393" s="35"/>
      <c r="AA393" s="48"/>
      <c r="AB393" s="35"/>
      <c r="AC393" s="35"/>
      <c r="AD393" s="35"/>
      <c r="AE393" s="35"/>
      <c r="AF393" s="35"/>
      <c r="AG393" s="48"/>
      <c r="AH393" s="35"/>
      <c r="AI393" s="35"/>
    </row>
    <row r="394" spans="1:35" x14ac:dyDescent="0.25">
      <c r="A394" s="48">
        <v>58</v>
      </c>
      <c r="B394" s="166" t="s">
        <v>334</v>
      </c>
      <c r="C394" s="166" t="s">
        <v>525</v>
      </c>
      <c r="D394" s="150">
        <f t="shared" si="18"/>
        <v>15900</v>
      </c>
      <c r="E394" s="35"/>
      <c r="F394" s="35"/>
      <c r="G394" s="35"/>
      <c r="H394" s="35"/>
      <c r="I394" s="35"/>
      <c r="J394" s="35">
        <v>3900</v>
      </c>
      <c r="K394" s="35"/>
      <c r="L394" s="35"/>
      <c r="M394" s="35">
        <v>4000</v>
      </c>
      <c r="N394" s="48"/>
      <c r="O394" s="35"/>
      <c r="P394" s="35"/>
      <c r="Q394" s="48"/>
      <c r="R394" s="40"/>
      <c r="S394" s="35"/>
      <c r="T394" s="40"/>
      <c r="U394" s="35"/>
      <c r="V394" s="48"/>
      <c r="W394" s="35"/>
      <c r="X394" s="48"/>
      <c r="Y394" s="35"/>
      <c r="Z394" s="35"/>
      <c r="AA394" s="48"/>
      <c r="AB394" s="35"/>
      <c r="AC394" s="35">
        <v>8000</v>
      </c>
      <c r="AD394" s="35"/>
      <c r="AE394" s="35"/>
      <c r="AF394" s="35"/>
      <c r="AG394" s="48"/>
      <c r="AH394" s="35"/>
      <c r="AI394" s="35"/>
    </row>
    <row r="395" spans="1:35" x14ac:dyDescent="0.25">
      <c r="A395" s="48">
        <v>59</v>
      </c>
      <c r="B395" s="166" t="s">
        <v>712</v>
      </c>
      <c r="C395" s="166" t="s">
        <v>711</v>
      </c>
      <c r="D395" s="150">
        <f t="shared" si="18"/>
        <v>0</v>
      </c>
      <c r="E395" s="35"/>
      <c r="F395" s="35"/>
      <c r="G395" s="35"/>
      <c r="H395" s="35"/>
      <c r="I395" s="35"/>
      <c r="J395" s="35"/>
      <c r="K395" s="35"/>
      <c r="L395" s="35"/>
      <c r="M395" s="35"/>
      <c r="N395" s="48"/>
      <c r="O395" s="35"/>
      <c r="P395" s="35"/>
      <c r="Q395" s="48"/>
      <c r="R395" s="40"/>
      <c r="S395" s="35"/>
      <c r="T395" s="40"/>
      <c r="U395" s="35"/>
      <c r="V395" s="48"/>
      <c r="W395" s="35"/>
      <c r="X395" s="48"/>
      <c r="Y395" s="35"/>
      <c r="Z395" s="35"/>
      <c r="AA395" s="48"/>
      <c r="AB395" s="35"/>
      <c r="AC395" s="35"/>
      <c r="AD395" s="35"/>
      <c r="AE395" s="35"/>
      <c r="AF395" s="35"/>
      <c r="AG395" s="48"/>
      <c r="AH395" s="35"/>
      <c r="AI395" s="35"/>
    </row>
    <row r="396" spans="1:35" x14ac:dyDescent="0.25">
      <c r="A396" s="48">
        <v>60</v>
      </c>
      <c r="B396" s="166" t="s">
        <v>527</v>
      </c>
      <c r="C396" s="166" t="s">
        <v>526</v>
      </c>
      <c r="D396" s="150">
        <f t="shared" si="18"/>
        <v>35000</v>
      </c>
      <c r="E396" s="35"/>
      <c r="F396" s="35"/>
      <c r="G396" s="35"/>
      <c r="H396" s="35"/>
      <c r="I396" s="35"/>
      <c r="J396" s="35"/>
      <c r="K396" s="35"/>
      <c r="L396" s="35"/>
      <c r="M396" s="35"/>
      <c r="N396" s="48"/>
      <c r="O396" s="35"/>
      <c r="P396" s="35"/>
      <c r="Q396" s="48"/>
      <c r="R396" s="40"/>
      <c r="S396" s="35"/>
      <c r="T396" s="40"/>
      <c r="U396" s="35"/>
      <c r="V396" s="48"/>
      <c r="W396" s="35"/>
      <c r="X396" s="48"/>
      <c r="Y396" s="35"/>
      <c r="Z396" s="35"/>
      <c r="AA396" s="48"/>
      <c r="AB396" s="35">
        <v>21000</v>
      </c>
      <c r="AC396" s="35"/>
      <c r="AD396" s="35"/>
      <c r="AE396" s="35"/>
      <c r="AF396" s="35"/>
      <c r="AG396" s="48"/>
      <c r="AH396" s="35">
        <v>14000</v>
      </c>
      <c r="AI396" s="35"/>
    </row>
    <row r="397" spans="1:35" x14ac:dyDescent="0.25">
      <c r="A397" s="48">
        <v>61</v>
      </c>
      <c r="B397" s="166" t="s">
        <v>386</v>
      </c>
      <c r="C397" s="166" t="s">
        <v>385</v>
      </c>
      <c r="D397" s="150">
        <f t="shared" si="18"/>
        <v>16000</v>
      </c>
      <c r="E397" s="35"/>
      <c r="F397" s="35"/>
      <c r="G397" s="35"/>
      <c r="H397" s="35"/>
      <c r="I397" s="35"/>
      <c r="J397" s="35"/>
      <c r="K397" s="35"/>
      <c r="L397" s="35"/>
      <c r="M397" s="35"/>
      <c r="N397" s="48"/>
      <c r="O397" s="35"/>
      <c r="P397" s="35"/>
      <c r="Q397" s="48"/>
      <c r="R397" s="40"/>
      <c r="S397" s="35"/>
      <c r="T397" s="40"/>
      <c r="U397" s="35"/>
      <c r="V397" s="48"/>
      <c r="W397" s="35"/>
      <c r="X397" s="48"/>
      <c r="Y397" s="35">
        <v>5000</v>
      </c>
      <c r="Z397" s="35"/>
      <c r="AA397" s="48"/>
      <c r="AB397" s="35">
        <v>11000</v>
      </c>
      <c r="AC397" s="35"/>
      <c r="AD397" s="35"/>
      <c r="AE397" s="35"/>
      <c r="AF397" s="35"/>
      <c r="AG397" s="48"/>
      <c r="AH397" s="35"/>
      <c r="AI397" s="35"/>
    </row>
    <row r="398" spans="1:35" x14ac:dyDescent="0.25">
      <c r="A398" s="48">
        <v>62</v>
      </c>
      <c r="B398" s="166" t="s">
        <v>341</v>
      </c>
      <c r="C398" s="166" t="s">
        <v>387</v>
      </c>
      <c r="D398" s="150">
        <f t="shared" si="18"/>
        <v>7000</v>
      </c>
      <c r="E398" s="35"/>
      <c r="F398" s="35"/>
      <c r="G398" s="35"/>
      <c r="H398" s="35"/>
      <c r="I398" s="35"/>
      <c r="J398" s="35"/>
      <c r="K398" s="35"/>
      <c r="L398" s="35"/>
      <c r="M398" s="35"/>
      <c r="N398" s="48"/>
      <c r="O398" s="35"/>
      <c r="P398" s="35"/>
      <c r="Q398" s="48"/>
      <c r="R398" s="40"/>
      <c r="S398" s="35"/>
      <c r="T398" s="40"/>
      <c r="U398" s="35"/>
      <c r="V398" s="48"/>
      <c r="W398" s="35">
        <v>7000</v>
      </c>
      <c r="X398" s="48"/>
      <c r="Y398" s="35"/>
      <c r="Z398" s="35"/>
      <c r="AA398" s="48"/>
      <c r="AB398" s="35"/>
      <c r="AC398" s="35"/>
      <c r="AD398" s="35"/>
      <c r="AE398" s="35"/>
      <c r="AF398" s="35"/>
      <c r="AG398" s="48"/>
      <c r="AH398" s="35"/>
      <c r="AI398" s="35"/>
    </row>
    <row r="399" spans="1:35" x14ac:dyDescent="0.25">
      <c r="A399" s="48">
        <v>63</v>
      </c>
      <c r="B399" s="166" t="s">
        <v>770</v>
      </c>
      <c r="C399" s="166" t="s">
        <v>769</v>
      </c>
      <c r="D399" s="150">
        <f t="shared" si="18"/>
        <v>2850</v>
      </c>
      <c r="E399" s="35"/>
      <c r="F399" s="35"/>
      <c r="G399" s="35"/>
      <c r="H399" s="35"/>
      <c r="I399" s="35"/>
      <c r="J399" s="35"/>
      <c r="K399" s="35"/>
      <c r="L399" s="35"/>
      <c r="M399" s="35"/>
      <c r="N399" s="48"/>
      <c r="O399" s="35"/>
      <c r="P399" s="35"/>
      <c r="Q399" s="48"/>
      <c r="R399" s="40"/>
      <c r="S399" s="35"/>
      <c r="T399" s="40"/>
      <c r="U399" s="35"/>
      <c r="V399" s="48"/>
      <c r="W399" s="35"/>
      <c r="X399" s="48">
        <v>2850</v>
      </c>
      <c r="Y399" s="35"/>
      <c r="Z399" s="35"/>
      <c r="AA399" s="48"/>
      <c r="AB399" s="35"/>
      <c r="AC399" s="35"/>
      <c r="AD399" s="35"/>
      <c r="AE399" s="35"/>
      <c r="AF399" s="35"/>
      <c r="AG399" s="48"/>
      <c r="AH399" s="35"/>
      <c r="AI399" s="35"/>
    </row>
    <row r="400" spans="1:35" x14ac:dyDescent="0.25">
      <c r="A400" s="48">
        <v>64</v>
      </c>
      <c r="B400" s="166" t="s">
        <v>772</v>
      </c>
      <c r="C400" s="166" t="s">
        <v>771</v>
      </c>
      <c r="D400" s="150">
        <f t="shared" si="18"/>
        <v>0</v>
      </c>
      <c r="E400" s="35"/>
      <c r="F400" s="35"/>
      <c r="G400" s="35"/>
      <c r="H400" s="35"/>
      <c r="I400" s="35"/>
      <c r="J400" s="35"/>
      <c r="K400" s="35"/>
      <c r="L400" s="35"/>
      <c r="M400" s="35"/>
      <c r="N400" s="48"/>
      <c r="O400" s="35"/>
      <c r="P400" s="35"/>
      <c r="Q400" s="48"/>
      <c r="R400" s="40"/>
      <c r="S400" s="35"/>
      <c r="T400" s="40"/>
      <c r="U400" s="35"/>
      <c r="V400" s="48"/>
      <c r="W400" s="35"/>
      <c r="X400" s="48"/>
      <c r="Y400" s="35"/>
      <c r="Z400" s="35"/>
      <c r="AA400" s="48"/>
      <c r="AB400" s="35"/>
      <c r="AC400" s="35"/>
      <c r="AD400" s="35"/>
      <c r="AE400" s="35"/>
      <c r="AF400" s="35"/>
      <c r="AG400" s="48"/>
      <c r="AH400" s="35"/>
      <c r="AI400" s="35"/>
    </row>
    <row r="401" spans="1:35" x14ac:dyDescent="0.25">
      <c r="A401" s="48">
        <v>65</v>
      </c>
      <c r="B401" s="166" t="s">
        <v>352</v>
      </c>
      <c r="C401" s="166" t="s">
        <v>353</v>
      </c>
      <c r="D401" s="150">
        <f t="shared" ref="D401:D432" si="19">SUM(E401:AI401)</f>
        <v>0</v>
      </c>
      <c r="E401" s="35"/>
      <c r="F401" s="35"/>
      <c r="G401" s="35"/>
      <c r="H401" s="35"/>
      <c r="I401" s="35"/>
      <c r="J401" s="35"/>
      <c r="K401" s="35"/>
      <c r="L401" s="35"/>
      <c r="M401" s="35"/>
      <c r="N401" s="48"/>
      <c r="O401" s="35"/>
      <c r="P401" s="35"/>
      <c r="Q401" s="48"/>
      <c r="R401" s="40"/>
      <c r="S401" s="35"/>
      <c r="T401" s="40"/>
      <c r="U401" s="35"/>
      <c r="V401" s="48"/>
      <c r="W401" s="35"/>
      <c r="X401" s="48"/>
      <c r="Y401" s="35"/>
      <c r="Z401" s="35"/>
      <c r="AA401" s="48"/>
      <c r="AB401" s="35"/>
      <c r="AC401" s="35"/>
      <c r="AD401" s="35"/>
      <c r="AE401" s="35"/>
      <c r="AF401" s="35"/>
      <c r="AG401" s="48"/>
      <c r="AH401" s="35"/>
      <c r="AI401" s="35"/>
    </row>
    <row r="402" spans="1:35" x14ac:dyDescent="0.25">
      <c r="A402" s="48">
        <v>66</v>
      </c>
      <c r="B402" s="166" t="s">
        <v>378</v>
      </c>
      <c r="C402" s="166" t="s">
        <v>377</v>
      </c>
      <c r="D402" s="150">
        <f t="shared" si="19"/>
        <v>0</v>
      </c>
      <c r="E402" s="35"/>
      <c r="F402" s="35"/>
      <c r="G402" s="35"/>
      <c r="H402" s="35"/>
      <c r="I402" s="35"/>
      <c r="J402" s="35"/>
      <c r="K402" s="35"/>
      <c r="L402" s="35"/>
      <c r="M402" s="35"/>
      <c r="N402" s="48"/>
      <c r="O402" s="35"/>
      <c r="P402" s="35"/>
      <c r="Q402" s="48"/>
      <c r="R402" s="40"/>
      <c r="S402" s="35"/>
      <c r="T402" s="40"/>
      <c r="U402" s="35"/>
      <c r="V402" s="48"/>
      <c r="W402" s="35"/>
      <c r="X402" s="48"/>
      <c r="Y402" s="35"/>
      <c r="Z402" s="35"/>
      <c r="AA402" s="48"/>
      <c r="AB402" s="35"/>
      <c r="AC402" s="35"/>
      <c r="AD402" s="35"/>
      <c r="AE402" s="35"/>
      <c r="AF402" s="35"/>
      <c r="AG402" s="48"/>
      <c r="AH402" s="35"/>
      <c r="AI402" s="35"/>
    </row>
    <row r="403" spans="1:35" x14ac:dyDescent="0.25">
      <c r="A403" s="48">
        <v>67</v>
      </c>
      <c r="B403" s="166" t="s">
        <v>379</v>
      </c>
      <c r="C403" s="166" t="s">
        <v>382</v>
      </c>
      <c r="D403" s="150">
        <f t="shared" si="19"/>
        <v>0</v>
      </c>
      <c r="E403" s="35"/>
      <c r="F403" s="35"/>
      <c r="G403" s="35"/>
      <c r="H403" s="35"/>
      <c r="I403" s="35"/>
      <c r="J403" s="35"/>
      <c r="K403" s="35"/>
      <c r="L403" s="35"/>
      <c r="M403" s="35"/>
      <c r="N403" s="48"/>
      <c r="O403" s="35"/>
      <c r="P403" s="35"/>
      <c r="Q403" s="48"/>
      <c r="R403" s="40"/>
      <c r="S403" s="35"/>
      <c r="T403" s="40"/>
      <c r="U403" s="35"/>
      <c r="V403" s="48"/>
      <c r="W403" s="35"/>
      <c r="X403" s="48"/>
      <c r="Y403" s="35"/>
      <c r="Z403" s="35"/>
      <c r="AA403" s="48"/>
      <c r="AB403" s="35"/>
      <c r="AC403" s="35"/>
      <c r="AD403" s="35"/>
      <c r="AE403" s="35"/>
      <c r="AF403" s="35"/>
      <c r="AG403" s="48"/>
      <c r="AH403" s="35"/>
      <c r="AI403" s="35"/>
    </row>
    <row r="404" spans="1:35" x14ac:dyDescent="0.25">
      <c r="A404" s="48">
        <v>68</v>
      </c>
      <c r="B404" s="166" t="s">
        <v>380</v>
      </c>
      <c r="C404" s="166" t="s">
        <v>383</v>
      </c>
      <c r="D404" s="150">
        <f t="shared" si="19"/>
        <v>250</v>
      </c>
      <c r="E404" s="35"/>
      <c r="F404" s="35"/>
      <c r="G404" s="35"/>
      <c r="H404" s="35"/>
      <c r="I404" s="35"/>
      <c r="J404" s="35"/>
      <c r="K404" s="35">
        <v>250</v>
      </c>
      <c r="L404" s="35"/>
      <c r="M404" s="35"/>
      <c r="N404" s="48"/>
      <c r="O404" s="35"/>
      <c r="P404" s="35"/>
      <c r="Q404" s="48"/>
      <c r="R404" s="40"/>
      <c r="S404" s="35"/>
      <c r="T404" s="40"/>
      <c r="U404" s="35"/>
      <c r="V404" s="48"/>
      <c r="W404" s="35"/>
      <c r="X404" s="48"/>
      <c r="Y404" s="35"/>
      <c r="Z404" s="35"/>
      <c r="AA404" s="48"/>
      <c r="AB404" s="35"/>
      <c r="AC404" s="35"/>
      <c r="AD404" s="35"/>
      <c r="AE404" s="35"/>
      <c r="AF404" s="35"/>
      <c r="AG404" s="48"/>
      <c r="AH404" s="35"/>
      <c r="AI404" s="35"/>
    </row>
    <row r="405" spans="1:35" x14ac:dyDescent="0.25">
      <c r="A405" s="48">
        <v>69</v>
      </c>
      <c r="B405" s="166" t="s">
        <v>381</v>
      </c>
      <c r="C405" s="166" t="s">
        <v>384</v>
      </c>
      <c r="D405" s="150">
        <f t="shared" si="19"/>
        <v>4972</v>
      </c>
      <c r="E405" s="35"/>
      <c r="F405" s="35"/>
      <c r="G405" s="35"/>
      <c r="H405" s="35"/>
      <c r="I405" s="35"/>
      <c r="J405" s="35"/>
      <c r="K405" s="35"/>
      <c r="L405" s="35"/>
      <c r="M405" s="35"/>
      <c r="N405" s="48"/>
      <c r="O405" s="35"/>
      <c r="P405" s="35"/>
      <c r="Q405" s="48"/>
      <c r="R405" s="40"/>
      <c r="S405" s="35"/>
      <c r="T405" s="40"/>
      <c r="U405" s="35">
        <v>4972</v>
      </c>
      <c r="V405" s="48"/>
      <c r="W405" s="35"/>
      <c r="X405" s="48"/>
      <c r="Y405" s="35"/>
      <c r="Z405" s="35"/>
      <c r="AA405" s="48"/>
      <c r="AB405" s="35"/>
      <c r="AC405" s="35"/>
      <c r="AD405" s="35"/>
      <c r="AE405" s="35"/>
      <c r="AF405" s="35"/>
      <c r="AG405" s="48"/>
      <c r="AH405" s="35"/>
      <c r="AI405" s="35"/>
    </row>
    <row r="406" spans="1:35" x14ac:dyDescent="0.25">
      <c r="A406" s="48">
        <v>70</v>
      </c>
      <c r="B406" s="166" t="s">
        <v>341</v>
      </c>
      <c r="C406" s="166" t="s">
        <v>833</v>
      </c>
      <c r="D406" s="150">
        <f t="shared" si="19"/>
        <v>11000</v>
      </c>
      <c r="E406" s="35"/>
      <c r="F406" s="35"/>
      <c r="G406" s="35"/>
      <c r="H406" s="35"/>
      <c r="I406" s="35"/>
      <c r="J406" s="35"/>
      <c r="K406" s="35"/>
      <c r="L406" s="35">
        <v>11000</v>
      </c>
      <c r="M406" s="35"/>
      <c r="N406" s="48"/>
      <c r="O406" s="35"/>
      <c r="P406" s="35"/>
      <c r="Q406" s="48"/>
      <c r="R406" s="40"/>
      <c r="S406" s="35"/>
      <c r="T406" s="40"/>
      <c r="U406" s="35"/>
      <c r="V406" s="48"/>
      <c r="W406" s="35"/>
      <c r="X406" s="48"/>
      <c r="Y406" s="35"/>
      <c r="Z406" s="35"/>
      <c r="AA406" s="48"/>
      <c r="AB406" s="35"/>
      <c r="AC406" s="35"/>
      <c r="AD406" s="35"/>
      <c r="AE406" s="35"/>
      <c r="AF406" s="35"/>
      <c r="AG406" s="48"/>
      <c r="AH406" s="35"/>
      <c r="AI406" s="35"/>
    </row>
    <row r="407" spans="1:35" x14ac:dyDescent="0.25">
      <c r="A407" s="48">
        <v>71</v>
      </c>
      <c r="B407" s="166" t="s">
        <v>835</v>
      </c>
      <c r="C407" s="166" t="s">
        <v>834</v>
      </c>
      <c r="D407" s="150">
        <f t="shared" si="19"/>
        <v>798</v>
      </c>
      <c r="E407" s="35"/>
      <c r="F407" s="35"/>
      <c r="G407" s="35"/>
      <c r="H407" s="35"/>
      <c r="I407" s="35"/>
      <c r="J407" s="35"/>
      <c r="K407" s="35"/>
      <c r="L407" s="35"/>
      <c r="M407" s="35"/>
      <c r="N407" s="48"/>
      <c r="O407" s="35"/>
      <c r="P407" s="35"/>
      <c r="Q407" s="48"/>
      <c r="R407" s="40"/>
      <c r="S407" s="35"/>
      <c r="T407" s="40"/>
      <c r="U407" s="35"/>
      <c r="V407" s="48"/>
      <c r="W407" s="35"/>
      <c r="X407" s="48">
        <v>300</v>
      </c>
      <c r="Y407" s="35"/>
      <c r="Z407" s="35"/>
      <c r="AA407" s="48"/>
      <c r="AB407" s="35"/>
      <c r="AC407" s="35"/>
      <c r="AD407" s="35"/>
      <c r="AE407" s="35"/>
      <c r="AF407" s="35"/>
      <c r="AG407" s="48"/>
      <c r="AH407" s="35">
        <v>498</v>
      </c>
      <c r="AI407" s="35"/>
    </row>
    <row r="408" spans="1:35" x14ac:dyDescent="0.25">
      <c r="A408" s="48">
        <v>72</v>
      </c>
      <c r="B408" s="166" t="s">
        <v>113</v>
      </c>
      <c r="C408" s="166" t="s">
        <v>114</v>
      </c>
      <c r="D408" s="150">
        <f t="shared" si="19"/>
        <v>4500</v>
      </c>
      <c r="E408" s="35"/>
      <c r="F408" s="35"/>
      <c r="G408" s="35"/>
      <c r="H408" s="35"/>
      <c r="I408" s="35"/>
      <c r="J408" s="35"/>
      <c r="K408" s="35"/>
      <c r="L408" s="35"/>
      <c r="M408" s="35"/>
      <c r="N408" s="48"/>
      <c r="O408" s="35"/>
      <c r="P408" s="35"/>
      <c r="Q408" s="48"/>
      <c r="R408" s="40"/>
      <c r="S408" s="35"/>
      <c r="T408" s="40"/>
      <c r="U408" s="35"/>
      <c r="V408" s="48"/>
      <c r="W408" s="35">
        <v>4500</v>
      </c>
      <c r="X408" s="48"/>
      <c r="Y408" s="35"/>
      <c r="Z408" s="35"/>
      <c r="AA408" s="48"/>
      <c r="AB408" s="35"/>
      <c r="AC408" s="35"/>
      <c r="AD408" s="35"/>
      <c r="AE408" s="35"/>
      <c r="AF408" s="35"/>
      <c r="AG408" s="48"/>
      <c r="AH408" s="35"/>
      <c r="AI408" s="35"/>
    </row>
    <row r="409" spans="1:35" x14ac:dyDescent="0.25">
      <c r="A409" s="48">
        <v>73</v>
      </c>
      <c r="B409" s="166" t="s">
        <v>778</v>
      </c>
      <c r="C409" s="166" t="s">
        <v>777</v>
      </c>
      <c r="D409" s="150">
        <f t="shared" si="19"/>
        <v>1000</v>
      </c>
      <c r="E409" s="35"/>
      <c r="F409" s="35"/>
      <c r="G409" s="35"/>
      <c r="H409" s="35"/>
      <c r="I409" s="35"/>
      <c r="J409" s="35"/>
      <c r="K409" s="35"/>
      <c r="L409" s="35"/>
      <c r="M409" s="35"/>
      <c r="N409" s="48"/>
      <c r="O409" s="35"/>
      <c r="P409" s="35"/>
      <c r="Q409" s="48"/>
      <c r="R409" s="40"/>
      <c r="S409" s="35"/>
      <c r="T409" s="40"/>
      <c r="U409" s="35"/>
      <c r="V409" s="48"/>
      <c r="W409" s="35"/>
      <c r="X409" s="48"/>
      <c r="Y409" s="35"/>
      <c r="Z409" s="35"/>
      <c r="AA409" s="48"/>
      <c r="AB409" s="35"/>
      <c r="AC409" s="35"/>
      <c r="AD409" s="35"/>
      <c r="AE409" s="35"/>
      <c r="AF409" s="35">
        <v>1000</v>
      </c>
      <c r="AG409" s="48"/>
      <c r="AH409" s="35"/>
      <c r="AI409" s="35"/>
    </row>
    <row r="410" spans="1:35" x14ac:dyDescent="0.25">
      <c r="A410" s="48">
        <v>74</v>
      </c>
      <c r="B410" s="166" t="s">
        <v>780</v>
      </c>
      <c r="C410" s="166" t="s">
        <v>779</v>
      </c>
      <c r="D410" s="150">
        <f t="shared" si="19"/>
        <v>5000</v>
      </c>
      <c r="E410" s="35"/>
      <c r="F410" s="35"/>
      <c r="G410" s="35"/>
      <c r="H410" s="35"/>
      <c r="I410" s="35"/>
      <c r="J410" s="35"/>
      <c r="K410" s="35"/>
      <c r="L410" s="35"/>
      <c r="M410" s="35"/>
      <c r="N410" s="48"/>
      <c r="O410" s="35"/>
      <c r="P410" s="35"/>
      <c r="Q410" s="48"/>
      <c r="R410" s="40"/>
      <c r="S410" s="35"/>
      <c r="T410" s="40"/>
      <c r="U410" s="35"/>
      <c r="V410" s="48"/>
      <c r="W410" s="35"/>
      <c r="X410" s="48"/>
      <c r="Y410" s="35"/>
      <c r="Z410" s="35"/>
      <c r="AA410" s="48"/>
      <c r="AB410" s="35"/>
      <c r="AC410" s="35"/>
      <c r="AD410" s="35"/>
      <c r="AE410" s="35"/>
      <c r="AF410" s="35">
        <v>5000</v>
      </c>
      <c r="AG410" s="48"/>
      <c r="AH410" s="35"/>
      <c r="AI410" s="35"/>
    </row>
    <row r="411" spans="1:35" x14ac:dyDescent="0.25">
      <c r="A411" s="48">
        <v>75</v>
      </c>
      <c r="B411" s="166" t="s">
        <v>782</v>
      </c>
      <c r="C411" s="166" t="s">
        <v>781</v>
      </c>
      <c r="D411" s="150">
        <f t="shared" si="19"/>
        <v>3700</v>
      </c>
      <c r="E411" s="35"/>
      <c r="F411" s="35"/>
      <c r="G411" s="35"/>
      <c r="H411" s="35"/>
      <c r="I411" s="35"/>
      <c r="J411" s="35"/>
      <c r="K411" s="35"/>
      <c r="L411" s="35"/>
      <c r="M411" s="35"/>
      <c r="N411" s="48">
        <v>1200</v>
      </c>
      <c r="O411" s="35"/>
      <c r="P411" s="35"/>
      <c r="Q411" s="48"/>
      <c r="R411" s="40"/>
      <c r="S411" s="35"/>
      <c r="T411" s="40"/>
      <c r="U411" s="35"/>
      <c r="V411" s="48"/>
      <c r="W411" s="35"/>
      <c r="X411" s="48"/>
      <c r="Y411" s="35"/>
      <c r="Z411" s="35"/>
      <c r="AA411" s="48"/>
      <c r="AB411" s="35"/>
      <c r="AC411" s="35"/>
      <c r="AD411" s="35"/>
      <c r="AE411" s="35">
        <v>2500</v>
      </c>
      <c r="AF411" s="35"/>
      <c r="AG411" s="48"/>
      <c r="AH411" s="35"/>
      <c r="AI411" s="35"/>
    </row>
    <row r="412" spans="1:35" x14ac:dyDescent="0.25">
      <c r="A412" s="48">
        <v>76</v>
      </c>
      <c r="B412" s="166" t="s">
        <v>807</v>
      </c>
      <c r="C412" s="166" t="s">
        <v>805</v>
      </c>
      <c r="D412" s="150">
        <f t="shared" si="19"/>
        <v>2900</v>
      </c>
      <c r="E412" s="35"/>
      <c r="F412" s="35"/>
      <c r="G412" s="35"/>
      <c r="H412" s="35"/>
      <c r="I412" s="35"/>
      <c r="J412" s="35"/>
      <c r="K412" s="35"/>
      <c r="L412" s="35"/>
      <c r="M412" s="35"/>
      <c r="N412" s="48"/>
      <c r="O412" s="35"/>
      <c r="P412" s="35"/>
      <c r="Q412" s="48"/>
      <c r="R412" s="40"/>
      <c r="S412" s="35"/>
      <c r="T412" s="40"/>
      <c r="U412" s="35"/>
      <c r="V412" s="48"/>
      <c r="W412" s="35"/>
      <c r="X412" s="48"/>
      <c r="Y412" s="35">
        <v>2900</v>
      </c>
      <c r="Z412" s="35"/>
      <c r="AA412" s="48"/>
      <c r="AB412" s="35"/>
      <c r="AC412" s="35"/>
      <c r="AD412" s="35"/>
      <c r="AE412" s="35"/>
      <c r="AF412" s="35"/>
      <c r="AG412" s="48"/>
      <c r="AH412" s="35"/>
      <c r="AI412" s="35"/>
    </row>
    <row r="413" spans="1:35" x14ac:dyDescent="0.25">
      <c r="A413" s="48">
        <v>77</v>
      </c>
      <c r="B413" s="166" t="s">
        <v>808</v>
      </c>
      <c r="C413" s="166" t="s">
        <v>806</v>
      </c>
      <c r="D413" s="150">
        <f t="shared" si="19"/>
        <v>0</v>
      </c>
      <c r="E413" s="35"/>
      <c r="F413" s="35"/>
      <c r="G413" s="35"/>
      <c r="H413" s="35"/>
      <c r="I413" s="35"/>
      <c r="J413" s="35"/>
      <c r="K413" s="35"/>
      <c r="L413" s="35"/>
      <c r="M413" s="35"/>
      <c r="N413" s="48"/>
      <c r="O413" s="35"/>
      <c r="P413" s="35"/>
      <c r="Q413" s="48"/>
      <c r="R413" s="40"/>
      <c r="S413" s="35"/>
      <c r="T413" s="40"/>
      <c r="U413" s="35"/>
      <c r="V413" s="48"/>
      <c r="W413" s="35"/>
      <c r="X413" s="48"/>
      <c r="Y413" s="35"/>
      <c r="Z413" s="35"/>
      <c r="AA413" s="48"/>
      <c r="AB413" s="35"/>
      <c r="AC413" s="35"/>
      <c r="AD413" s="35"/>
      <c r="AE413" s="35"/>
      <c r="AF413" s="35"/>
      <c r="AG413" s="48"/>
      <c r="AH413" s="35"/>
      <c r="AI413" s="35"/>
    </row>
    <row r="414" spans="1:35" x14ac:dyDescent="0.25">
      <c r="A414" s="48">
        <v>78</v>
      </c>
      <c r="B414" s="166" t="s">
        <v>810</v>
      </c>
      <c r="C414" s="166" t="s">
        <v>809</v>
      </c>
      <c r="D414" s="150">
        <f t="shared" si="19"/>
        <v>500</v>
      </c>
      <c r="E414" s="35"/>
      <c r="F414" s="35"/>
      <c r="G414" s="35"/>
      <c r="H414" s="35"/>
      <c r="I414" s="35">
        <v>500</v>
      </c>
      <c r="J414" s="35"/>
      <c r="K414" s="35"/>
      <c r="L414" s="35"/>
      <c r="M414" s="35"/>
      <c r="N414" s="48"/>
      <c r="O414" s="35"/>
      <c r="P414" s="35"/>
      <c r="Q414" s="48"/>
      <c r="R414" s="40"/>
      <c r="S414" s="35"/>
      <c r="T414" s="40"/>
      <c r="U414" s="35"/>
      <c r="V414" s="48"/>
      <c r="W414" s="35"/>
      <c r="X414" s="48"/>
      <c r="Y414" s="35"/>
      <c r="Z414" s="35"/>
      <c r="AA414" s="48"/>
      <c r="AB414" s="35"/>
      <c r="AC414" s="35"/>
      <c r="AD414" s="35"/>
      <c r="AE414" s="35"/>
      <c r="AF414" s="35"/>
      <c r="AG414" s="48"/>
      <c r="AH414" s="35"/>
      <c r="AI414" s="35"/>
    </row>
    <row r="415" spans="1:35" x14ac:dyDescent="0.25">
      <c r="A415" s="48">
        <v>79</v>
      </c>
      <c r="B415" s="166" t="s">
        <v>343</v>
      </c>
      <c r="C415" s="166" t="s">
        <v>392</v>
      </c>
      <c r="D415" s="150">
        <f t="shared" si="19"/>
        <v>0</v>
      </c>
      <c r="E415" s="35"/>
      <c r="F415" s="35"/>
      <c r="G415" s="35"/>
      <c r="H415" s="35"/>
      <c r="I415" s="35"/>
      <c r="J415" s="35"/>
      <c r="K415" s="35"/>
      <c r="L415" s="35"/>
      <c r="M415" s="35"/>
      <c r="N415" s="48"/>
      <c r="O415" s="35"/>
      <c r="P415" s="35"/>
      <c r="Q415" s="48"/>
      <c r="R415" s="40"/>
      <c r="S415" s="35"/>
      <c r="T415" s="40"/>
      <c r="U415" s="35"/>
      <c r="V415" s="48"/>
      <c r="W415" s="35"/>
      <c r="X415" s="48"/>
      <c r="Y415" s="35"/>
      <c r="Z415" s="35"/>
      <c r="AA415" s="48"/>
      <c r="AB415" s="35"/>
      <c r="AC415" s="35"/>
      <c r="AD415" s="35"/>
      <c r="AE415" s="35"/>
      <c r="AF415" s="35"/>
      <c r="AG415" s="48"/>
      <c r="AH415" s="35"/>
      <c r="AI415" s="35"/>
    </row>
    <row r="416" spans="1:35" x14ac:dyDescent="0.25">
      <c r="A416" s="48">
        <v>80</v>
      </c>
      <c r="B416" s="166" t="s">
        <v>393</v>
      </c>
      <c r="C416" s="166" t="s">
        <v>395</v>
      </c>
      <c r="D416" s="150">
        <f t="shared" si="19"/>
        <v>800</v>
      </c>
      <c r="E416" s="35"/>
      <c r="F416" s="35"/>
      <c r="G416" s="35"/>
      <c r="H416" s="35"/>
      <c r="I416" s="35"/>
      <c r="J416" s="35"/>
      <c r="K416" s="35">
        <v>800</v>
      </c>
      <c r="L416" s="35"/>
      <c r="M416" s="35"/>
      <c r="N416" s="48"/>
      <c r="O416" s="35"/>
      <c r="P416" s="35"/>
      <c r="Q416" s="48"/>
      <c r="R416" s="40"/>
      <c r="S416" s="35"/>
      <c r="T416" s="40"/>
      <c r="U416" s="35"/>
      <c r="V416" s="48"/>
      <c r="W416" s="35"/>
      <c r="X416" s="48"/>
      <c r="Y416" s="35"/>
      <c r="Z416" s="35"/>
      <c r="AA416" s="48"/>
      <c r="AB416" s="35"/>
      <c r="AC416" s="35"/>
      <c r="AD416" s="35"/>
      <c r="AE416" s="35"/>
      <c r="AF416" s="35"/>
      <c r="AG416" s="48"/>
      <c r="AH416" s="35"/>
      <c r="AI416" s="35"/>
    </row>
    <row r="417" spans="1:35" x14ac:dyDescent="0.25">
      <c r="A417" s="48">
        <v>81</v>
      </c>
      <c r="B417" s="166" t="s">
        <v>394</v>
      </c>
      <c r="C417" s="166" t="s">
        <v>396</v>
      </c>
      <c r="D417" s="150">
        <f t="shared" si="19"/>
        <v>0</v>
      </c>
      <c r="E417" s="35"/>
      <c r="F417" s="35"/>
      <c r="G417" s="35"/>
      <c r="H417" s="35"/>
      <c r="I417" s="35"/>
      <c r="J417" s="35"/>
      <c r="K417" s="35"/>
      <c r="L417" s="35"/>
      <c r="M417" s="35"/>
      <c r="N417" s="48"/>
      <c r="O417" s="35"/>
      <c r="P417" s="35"/>
      <c r="Q417" s="48"/>
      <c r="R417" s="40"/>
      <c r="S417" s="35"/>
      <c r="T417" s="40"/>
      <c r="U417" s="35"/>
      <c r="V417" s="48"/>
      <c r="W417" s="35"/>
      <c r="X417" s="48"/>
      <c r="Y417" s="35"/>
      <c r="Z417" s="35"/>
      <c r="AA417" s="48"/>
      <c r="AB417" s="35"/>
      <c r="AC417" s="35"/>
      <c r="AD417" s="35"/>
      <c r="AE417" s="35"/>
      <c r="AF417" s="35"/>
      <c r="AG417" s="48"/>
      <c r="AH417" s="35"/>
      <c r="AI417" s="35"/>
    </row>
    <row r="418" spans="1:35" x14ac:dyDescent="0.25">
      <c r="A418" s="48">
        <v>82</v>
      </c>
      <c r="B418" s="166" t="s">
        <v>658</v>
      </c>
      <c r="C418" s="166" t="s">
        <v>657</v>
      </c>
      <c r="D418" s="150">
        <f t="shared" si="19"/>
        <v>500</v>
      </c>
      <c r="E418" s="35"/>
      <c r="F418" s="35"/>
      <c r="G418" s="35"/>
      <c r="H418" s="35"/>
      <c r="I418" s="35"/>
      <c r="J418" s="35"/>
      <c r="K418" s="35"/>
      <c r="L418" s="35"/>
      <c r="M418" s="35"/>
      <c r="N418" s="48"/>
      <c r="O418" s="35"/>
      <c r="P418" s="35"/>
      <c r="Q418" s="48"/>
      <c r="R418" s="40"/>
      <c r="S418" s="35"/>
      <c r="T418" s="40"/>
      <c r="U418" s="35"/>
      <c r="V418" s="48"/>
      <c r="W418" s="35"/>
      <c r="X418" s="48"/>
      <c r="Y418" s="35">
        <v>500</v>
      </c>
      <c r="Z418" s="35"/>
      <c r="AA418" s="48"/>
      <c r="AB418" s="35"/>
      <c r="AC418" s="35"/>
      <c r="AD418" s="35"/>
      <c r="AE418" s="35"/>
      <c r="AF418" s="35"/>
      <c r="AG418" s="48"/>
      <c r="AH418" s="35"/>
      <c r="AI418" s="35"/>
    </row>
    <row r="419" spans="1:35" x14ac:dyDescent="0.25">
      <c r="A419" s="48">
        <v>83</v>
      </c>
      <c r="B419" s="166" t="s">
        <v>211</v>
      </c>
      <c r="C419" s="166" t="s">
        <v>213</v>
      </c>
      <c r="D419" s="150">
        <f t="shared" si="19"/>
        <v>0</v>
      </c>
      <c r="E419" s="35"/>
      <c r="F419" s="35"/>
      <c r="G419" s="35"/>
      <c r="H419" s="35"/>
      <c r="I419" s="35"/>
      <c r="J419" s="35"/>
      <c r="K419" s="35"/>
      <c r="L419" s="35"/>
      <c r="M419" s="35"/>
      <c r="N419" s="48"/>
      <c r="O419" s="35"/>
      <c r="P419" s="35"/>
      <c r="Q419" s="48"/>
      <c r="R419" s="40"/>
      <c r="S419" s="35"/>
      <c r="T419" s="40"/>
      <c r="U419" s="35"/>
      <c r="V419" s="48"/>
      <c r="W419" s="35"/>
      <c r="X419" s="48"/>
      <c r="Y419" s="35"/>
      <c r="Z419" s="35"/>
      <c r="AA419" s="48"/>
      <c r="AB419" s="35"/>
      <c r="AC419" s="35"/>
      <c r="AD419" s="35"/>
      <c r="AE419" s="35"/>
      <c r="AF419" s="35"/>
      <c r="AG419" s="48"/>
      <c r="AH419" s="35"/>
      <c r="AI419" s="35"/>
    </row>
    <row r="420" spans="1:35" x14ac:dyDescent="0.25">
      <c r="A420" s="48">
        <v>84</v>
      </c>
      <c r="B420" s="166" t="s">
        <v>212</v>
      </c>
      <c r="C420" s="166" t="s">
        <v>214</v>
      </c>
      <c r="D420" s="150">
        <f t="shared" si="19"/>
        <v>0</v>
      </c>
      <c r="E420" s="35"/>
      <c r="F420" s="35"/>
      <c r="G420" s="35"/>
      <c r="H420" s="35"/>
      <c r="I420" s="35"/>
      <c r="J420" s="35"/>
      <c r="K420" s="35"/>
      <c r="L420" s="35"/>
      <c r="M420" s="35"/>
      <c r="N420" s="48"/>
      <c r="O420" s="35"/>
      <c r="P420" s="35"/>
      <c r="Q420" s="48"/>
      <c r="R420" s="40"/>
      <c r="S420" s="35"/>
      <c r="T420" s="40"/>
      <c r="U420" s="35"/>
      <c r="V420" s="48"/>
      <c r="W420" s="35"/>
      <c r="X420" s="48"/>
      <c r="Y420" s="35"/>
      <c r="Z420" s="35"/>
      <c r="AA420" s="48"/>
      <c r="AB420" s="35"/>
      <c r="AC420" s="35"/>
      <c r="AD420" s="35"/>
      <c r="AE420" s="35"/>
      <c r="AF420" s="35"/>
      <c r="AG420" s="48"/>
      <c r="AH420" s="35"/>
      <c r="AI420" s="35"/>
    </row>
    <row r="421" spans="1:35" x14ac:dyDescent="0.25">
      <c r="A421" s="48">
        <v>85</v>
      </c>
      <c r="B421" s="166" t="s">
        <v>373</v>
      </c>
      <c r="C421" s="166" t="s">
        <v>371</v>
      </c>
      <c r="D421" s="150">
        <f t="shared" si="19"/>
        <v>1200</v>
      </c>
      <c r="E421" s="35"/>
      <c r="F421" s="35"/>
      <c r="G421" s="35"/>
      <c r="H421" s="35"/>
      <c r="I421" s="35"/>
      <c r="J421" s="35"/>
      <c r="K421" s="35"/>
      <c r="L421" s="35"/>
      <c r="M421" s="35"/>
      <c r="N421" s="48"/>
      <c r="O421" s="35"/>
      <c r="P421" s="35"/>
      <c r="Q421" s="48"/>
      <c r="R421" s="40"/>
      <c r="S421" s="35"/>
      <c r="T421" s="40"/>
      <c r="U421" s="35"/>
      <c r="V421" s="48"/>
      <c r="W421" s="35"/>
      <c r="X421" s="48"/>
      <c r="Y421" s="35"/>
      <c r="Z421" s="35"/>
      <c r="AA421" s="48"/>
      <c r="AB421" s="35">
        <v>1200</v>
      </c>
      <c r="AC421" s="35"/>
      <c r="AD421" s="35"/>
      <c r="AE421" s="35"/>
      <c r="AF421" s="35"/>
      <c r="AG421" s="48"/>
      <c r="AH421" s="35"/>
      <c r="AI421" s="35"/>
    </row>
    <row r="422" spans="1:35" x14ac:dyDescent="0.25">
      <c r="A422" s="48">
        <v>86</v>
      </c>
      <c r="B422" s="166" t="s">
        <v>374</v>
      </c>
      <c r="C422" s="166" t="s">
        <v>372</v>
      </c>
      <c r="D422" s="150">
        <f t="shared" si="19"/>
        <v>0</v>
      </c>
      <c r="E422" s="35"/>
      <c r="F422" s="35"/>
      <c r="G422" s="35"/>
      <c r="H422" s="35"/>
      <c r="I422" s="35"/>
      <c r="J422" s="35"/>
      <c r="K422" s="35"/>
      <c r="L422" s="35"/>
      <c r="M422" s="35"/>
      <c r="N422" s="48"/>
      <c r="O422" s="35"/>
      <c r="P422" s="35"/>
      <c r="Q422" s="48"/>
      <c r="R422" s="40"/>
      <c r="S422" s="35"/>
      <c r="T422" s="40"/>
      <c r="U422" s="35"/>
      <c r="V422" s="48"/>
      <c r="W422" s="35"/>
      <c r="X422" s="48"/>
      <c r="Y422" s="35"/>
      <c r="Z422" s="35"/>
      <c r="AA422" s="48"/>
      <c r="AB422" s="35"/>
      <c r="AC422" s="35"/>
      <c r="AD422" s="35"/>
      <c r="AE422" s="35"/>
      <c r="AF422" s="35"/>
      <c r="AG422" s="48"/>
      <c r="AH422" s="35"/>
      <c r="AI422" s="35"/>
    </row>
    <row r="423" spans="1:35" x14ac:dyDescent="0.25">
      <c r="A423" s="48">
        <v>87</v>
      </c>
      <c r="B423" s="166" t="s">
        <v>298</v>
      </c>
      <c r="C423" s="166" t="s">
        <v>297</v>
      </c>
      <c r="D423" s="150">
        <f t="shared" si="19"/>
        <v>0</v>
      </c>
      <c r="E423" s="35"/>
      <c r="F423" s="35"/>
      <c r="G423" s="35"/>
      <c r="H423" s="35"/>
      <c r="I423" s="35"/>
      <c r="J423" s="35"/>
      <c r="K423" s="35"/>
      <c r="L423" s="35"/>
      <c r="M423" s="35"/>
      <c r="N423" s="48"/>
      <c r="O423" s="35"/>
      <c r="P423" s="35"/>
      <c r="Q423" s="48"/>
      <c r="R423" s="40"/>
      <c r="S423" s="35"/>
      <c r="T423" s="40"/>
      <c r="U423" s="35"/>
      <c r="V423" s="48"/>
      <c r="W423" s="35"/>
      <c r="X423" s="48"/>
      <c r="Y423" s="35"/>
      <c r="Z423" s="35"/>
      <c r="AA423" s="48"/>
      <c r="AB423" s="35"/>
      <c r="AC423" s="35"/>
      <c r="AD423" s="35"/>
      <c r="AE423" s="35"/>
      <c r="AF423" s="35"/>
      <c r="AG423" s="48"/>
      <c r="AH423" s="35"/>
      <c r="AI423" s="35"/>
    </row>
    <row r="424" spans="1:35" x14ac:dyDescent="0.25">
      <c r="A424" s="48">
        <v>88</v>
      </c>
      <c r="B424" s="166" t="s">
        <v>346</v>
      </c>
      <c r="C424" s="166" t="s">
        <v>344</v>
      </c>
      <c r="D424" s="150">
        <f t="shared" si="19"/>
        <v>70530</v>
      </c>
      <c r="E424" s="35"/>
      <c r="F424" s="35"/>
      <c r="G424" s="35"/>
      <c r="H424" s="35"/>
      <c r="I424" s="35"/>
      <c r="J424" s="35"/>
      <c r="K424" s="35"/>
      <c r="L424" s="35">
        <v>30000</v>
      </c>
      <c r="M424" s="35">
        <v>11530</v>
      </c>
      <c r="N424" s="48"/>
      <c r="O424" s="35"/>
      <c r="P424" s="35">
        <v>10000</v>
      </c>
      <c r="Q424" s="48"/>
      <c r="R424" s="40"/>
      <c r="S424" s="35"/>
      <c r="T424" s="40"/>
      <c r="U424" s="35"/>
      <c r="V424" s="48"/>
      <c r="W424" s="35"/>
      <c r="X424" s="48"/>
      <c r="Y424" s="35"/>
      <c r="Z424" s="35">
        <v>7000</v>
      </c>
      <c r="AA424" s="48"/>
      <c r="AB424" s="35"/>
      <c r="AC424" s="35"/>
      <c r="AD424" s="35"/>
      <c r="AE424" s="35"/>
      <c r="AF424" s="35"/>
      <c r="AG424" s="48"/>
      <c r="AH424" s="35">
        <v>12000</v>
      </c>
      <c r="AI424" s="35"/>
    </row>
    <row r="425" spans="1:35" x14ac:dyDescent="0.25">
      <c r="A425" s="48">
        <v>89</v>
      </c>
      <c r="B425" s="166" t="s">
        <v>347</v>
      </c>
      <c r="C425" s="166" t="s">
        <v>345</v>
      </c>
      <c r="D425" s="150">
        <f t="shared" si="19"/>
        <v>0</v>
      </c>
      <c r="E425" s="35"/>
      <c r="F425" s="35"/>
      <c r="G425" s="35"/>
      <c r="H425" s="35"/>
      <c r="I425" s="35"/>
      <c r="J425" s="35"/>
      <c r="K425" s="35"/>
      <c r="L425" s="35"/>
      <c r="M425" s="35"/>
      <c r="N425" s="48"/>
      <c r="O425" s="35"/>
      <c r="P425" s="35"/>
      <c r="Q425" s="48"/>
      <c r="R425" s="40"/>
      <c r="S425" s="35"/>
      <c r="T425" s="40"/>
      <c r="U425" s="35"/>
      <c r="V425" s="48"/>
      <c r="W425" s="35"/>
      <c r="X425" s="48"/>
      <c r="Y425" s="35"/>
      <c r="Z425" s="35"/>
      <c r="AA425" s="48"/>
      <c r="AB425" s="35"/>
      <c r="AC425" s="35"/>
      <c r="AD425" s="35"/>
      <c r="AE425" s="35"/>
      <c r="AF425" s="35"/>
      <c r="AG425" s="48"/>
      <c r="AH425" s="35"/>
      <c r="AI425" s="35"/>
    </row>
    <row r="426" spans="1:35" x14ac:dyDescent="0.25">
      <c r="A426" s="48">
        <v>90</v>
      </c>
      <c r="B426" s="166" t="s">
        <v>357</v>
      </c>
      <c r="C426" s="166" t="s">
        <v>355</v>
      </c>
      <c r="D426" s="150">
        <f t="shared" si="19"/>
        <v>12230</v>
      </c>
      <c r="E426" s="35"/>
      <c r="F426" s="35"/>
      <c r="G426" s="35"/>
      <c r="H426" s="35"/>
      <c r="I426" s="35"/>
      <c r="J426" s="35"/>
      <c r="K426" s="35"/>
      <c r="L426" s="35"/>
      <c r="M426" s="35"/>
      <c r="N426" s="48"/>
      <c r="O426" s="35"/>
      <c r="P426" s="35"/>
      <c r="Q426" s="48"/>
      <c r="R426" s="40"/>
      <c r="S426" s="35"/>
      <c r="T426" s="40"/>
      <c r="U426" s="35"/>
      <c r="V426" s="48"/>
      <c r="W426" s="35"/>
      <c r="X426" s="48"/>
      <c r="Y426" s="35">
        <v>12230</v>
      </c>
      <c r="Z426" s="35"/>
      <c r="AA426" s="48"/>
      <c r="AB426" s="35"/>
      <c r="AC426" s="35"/>
      <c r="AD426" s="35"/>
      <c r="AE426" s="35"/>
      <c r="AF426" s="35"/>
      <c r="AG426" s="48"/>
      <c r="AH426" s="35"/>
      <c r="AI426" s="35"/>
    </row>
    <row r="427" spans="1:35" x14ac:dyDescent="0.25">
      <c r="A427" s="48">
        <v>91</v>
      </c>
      <c r="B427" s="166" t="s">
        <v>358</v>
      </c>
      <c r="C427" s="166" t="s">
        <v>356</v>
      </c>
      <c r="D427" s="150">
        <f t="shared" si="19"/>
        <v>0</v>
      </c>
      <c r="E427" s="35"/>
      <c r="F427" s="35"/>
      <c r="G427" s="35"/>
      <c r="H427" s="35"/>
      <c r="I427" s="35"/>
      <c r="J427" s="35"/>
      <c r="K427" s="35"/>
      <c r="L427" s="35"/>
      <c r="M427" s="35"/>
      <c r="N427" s="48"/>
      <c r="O427" s="35"/>
      <c r="P427" s="35"/>
      <c r="Q427" s="48"/>
      <c r="R427" s="40"/>
      <c r="S427" s="35"/>
      <c r="T427" s="40"/>
      <c r="U427" s="35"/>
      <c r="V427" s="48"/>
      <c r="W427" s="35"/>
      <c r="X427" s="48"/>
      <c r="Y427" s="35"/>
      <c r="Z427" s="35"/>
      <c r="AA427" s="48"/>
      <c r="AB427" s="35"/>
      <c r="AC427" s="35"/>
      <c r="AD427" s="35"/>
      <c r="AE427" s="35"/>
      <c r="AF427" s="35"/>
      <c r="AG427" s="48"/>
      <c r="AH427" s="35"/>
      <c r="AI427" s="35"/>
    </row>
    <row r="428" spans="1:35" x14ac:dyDescent="0.25">
      <c r="A428" s="48">
        <v>92</v>
      </c>
      <c r="B428" s="166" t="s">
        <v>359</v>
      </c>
      <c r="C428" s="166" t="s">
        <v>360</v>
      </c>
      <c r="D428" s="150">
        <f t="shared" si="19"/>
        <v>56000</v>
      </c>
      <c r="E428" s="35"/>
      <c r="F428" s="35"/>
      <c r="G428" s="35"/>
      <c r="H428" s="35"/>
      <c r="I428" s="35">
        <v>30000</v>
      </c>
      <c r="J428" s="35">
        <v>26000</v>
      </c>
      <c r="K428" s="35"/>
      <c r="L428" s="35"/>
      <c r="M428" s="35"/>
      <c r="N428" s="48"/>
      <c r="O428" s="35"/>
      <c r="P428" s="35"/>
      <c r="Q428" s="48"/>
      <c r="R428" s="40"/>
      <c r="S428" s="35"/>
      <c r="T428" s="40"/>
      <c r="U428" s="35"/>
      <c r="V428" s="48"/>
      <c r="W428" s="35"/>
      <c r="X428" s="48"/>
      <c r="Y428" s="35"/>
      <c r="Z428" s="35"/>
      <c r="AA428" s="48"/>
      <c r="AB428" s="35"/>
      <c r="AC428" s="35"/>
      <c r="AD428" s="35"/>
      <c r="AE428" s="35"/>
      <c r="AF428" s="35"/>
      <c r="AG428" s="48"/>
      <c r="AH428" s="35"/>
      <c r="AI428" s="35"/>
    </row>
    <row r="429" spans="1:35" x14ac:dyDescent="0.25">
      <c r="A429" s="48">
        <v>93</v>
      </c>
      <c r="B429" s="171" t="s">
        <v>485</v>
      </c>
      <c r="C429" s="171" t="s">
        <v>484</v>
      </c>
      <c r="D429" s="150">
        <f t="shared" si="19"/>
        <v>0</v>
      </c>
      <c r="E429" s="35"/>
      <c r="F429" s="35"/>
      <c r="G429" s="35"/>
      <c r="H429" s="35"/>
      <c r="I429" s="35"/>
      <c r="J429" s="35"/>
      <c r="K429" s="35"/>
      <c r="L429" s="35"/>
      <c r="M429" s="35"/>
      <c r="N429" s="48"/>
      <c r="O429" s="35"/>
      <c r="P429" s="35"/>
      <c r="Q429" s="48"/>
      <c r="R429" s="40"/>
      <c r="S429" s="35"/>
      <c r="T429" s="40"/>
      <c r="U429" s="35"/>
      <c r="V429" s="48"/>
      <c r="W429" s="35"/>
      <c r="X429" s="48"/>
      <c r="Y429" s="35"/>
      <c r="Z429" s="35"/>
      <c r="AA429" s="48"/>
      <c r="AB429" s="35"/>
      <c r="AC429" s="35"/>
      <c r="AD429" s="35"/>
      <c r="AE429" s="35"/>
      <c r="AF429" s="35"/>
      <c r="AG429" s="48"/>
      <c r="AH429" s="35"/>
      <c r="AI429" s="35"/>
    </row>
    <row r="430" spans="1:35" x14ac:dyDescent="0.25">
      <c r="A430" s="48">
        <v>94</v>
      </c>
      <c r="B430" s="171" t="s">
        <v>487</v>
      </c>
      <c r="C430" s="171" t="s">
        <v>486</v>
      </c>
      <c r="D430" s="150">
        <f t="shared" si="19"/>
        <v>410</v>
      </c>
      <c r="E430" s="35"/>
      <c r="F430" s="35"/>
      <c r="G430" s="35"/>
      <c r="H430" s="35"/>
      <c r="I430" s="35"/>
      <c r="J430" s="35"/>
      <c r="K430" s="35"/>
      <c r="L430" s="35"/>
      <c r="M430" s="35"/>
      <c r="N430" s="48"/>
      <c r="O430" s="35"/>
      <c r="P430" s="35"/>
      <c r="Q430" s="48"/>
      <c r="R430" s="40"/>
      <c r="S430" s="35"/>
      <c r="T430" s="40"/>
      <c r="U430" s="35"/>
      <c r="V430" s="48"/>
      <c r="W430" s="35"/>
      <c r="X430" s="48"/>
      <c r="Y430" s="35">
        <v>410</v>
      </c>
      <c r="Z430" s="35"/>
      <c r="AA430" s="48"/>
      <c r="AB430" s="35"/>
      <c r="AC430" s="35"/>
      <c r="AD430" s="35"/>
      <c r="AE430" s="35"/>
      <c r="AF430" s="35"/>
      <c r="AG430" s="48"/>
      <c r="AH430" s="35"/>
      <c r="AI430" s="35"/>
    </row>
    <row r="431" spans="1:35" x14ac:dyDescent="0.25">
      <c r="A431" s="48">
        <v>95</v>
      </c>
      <c r="B431" s="171" t="s">
        <v>489</v>
      </c>
      <c r="C431" s="171" t="s">
        <v>488</v>
      </c>
      <c r="D431" s="150">
        <f t="shared" si="19"/>
        <v>1300</v>
      </c>
      <c r="E431" s="35"/>
      <c r="F431" s="35"/>
      <c r="G431" s="35"/>
      <c r="H431" s="35"/>
      <c r="I431" s="35"/>
      <c r="J431" s="35"/>
      <c r="K431" s="35">
        <v>1300</v>
      </c>
      <c r="L431" s="35"/>
      <c r="M431" s="35"/>
      <c r="N431" s="48"/>
      <c r="O431" s="35"/>
      <c r="P431" s="35"/>
      <c r="Q431" s="48"/>
      <c r="R431" s="40"/>
      <c r="S431" s="35"/>
      <c r="T431" s="40"/>
      <c r="U431" s="35"/>
      <c r="V431" s="48"/>
      <c r="W431" s="35"/>
      <c r="X431" s="48"/>
      <c r="Y431" s="35"/>
      <c r="Z431" s="35"/>
      <c r="AA431" s="48"/>
      <c r="AB431" s="35"/>
      <c r="AC431" s="35"/>
      <c r="AD431" s="35"/>
      <c r="AE431" s="35"/>
      <c r="AF431" s="35"/>
      <c r="AG431" s="48"/>
      <c r="AH431" s="35"/>
      <c r="AI431" s="35"/>
    </row>
    <row r="432" spans="1:35" x14ac:dyDescent="0.25">
      <c r="A432" s="48">
        <v>96</v>
      </c>
      <c r="B432" s="166" t="s">
        <v>159</v>
      </c>
      <c r="C432" s="166" t="s">
        <v>115</v>
      </c>
      <c r="D432" s="150">
        <f t="shared" si="19"/>
        <v>180000</v>
      </c>
      <c r="E432" s="35"/>
      <c r="F432" s="35"/>
      <c r="G432" s="35">
        <v>50000</v>
      </c>
      <c r="H432" s="35"/>
      <c r="I432" s="35">
        <v>50000</v>
      </c>
      <c r="J432" s="35"/>
      <c r="K432" s="35">
        <v>50000</v>
      </c>
      <c r="L432" s="35"/>
      <c r="M432" s="35"/>
      <c r="N432" s="48"/>
      <c r="O432" s="35"/>
      <c r="P432" s="35">
        <v>30000</v>
      </c>
      <c r="Q432" s="48"/>
      <c r="R432" s="40"/>
      <c r="S432" s="35"/>
      <c r="T432" s="40"/>
      <c r="U432" s="35"/>
      <c r="V432" s="48"/>
      <c r="W432" s="35"/>
      <c r="X432" s="48"/>
      <c r="Y432" s="35"/>
      <c r="Z432" s="35"/>
      <c r="AA432" s="48"/>
      <c r="AB432" s="35"/>
      <c r="AC432" s="35"/>
      <c r="AD432" s="35"/>
      <c r="AE432" s="35"/>
      <c r="AF432" s="35"/>
      <c r="AG432" s="48"/>
      <c r="AH432" s="35"/>
      <c r="AI432" s="35"/>
    </row>
    <row r="433" spans="1:35" x14ac:dyDescent="0.25">
      <c r="A433" s="48">
        <v>97</v>
      </c>
      <c r="B433" s="166" t="s">
        <v>314</v>
      </c>
      <c r="C433" s="166" t="s">
        <v>313</v>
      </c>
      <c r="D433" s="150">
        <f t="shared" ref="D433:D464" si="20">SUM(E433:AI433)</f>
        <v>0</v>
      </c>
      <c r="E433" s="35"/>
      <c r="F433" s="35"/>
      <c r="G433" s="35"/>
      <c r="H433" s="35"/>
      <c r="I433" s="35"/>
      <c r="J433" s="35"/>
      <c r="K433" s="35"/>
      <c r="L433" s="35"/>
      <c r="M433" s="35"/>
      <c r="N433" s="48"/>
      <c r="O433" s="35"/>
      <c r="P433" s="35"/>
      <c r="Q433" s="48"/>
      <c r="R433" s="40"/>
      <c r="S433" s="35"/>
      <c r="T433" s="40"/>
      <c r="U433" s="35"/>
      <c r="V433" s="48"/>
      <c r="W433" s="35"/>
      <c r="X433" s="48"/>
      <c r="Y433" s="35"/>
      <c r="Z433" s="35"/>
      <c r="AA433" s="48"/>
      <c r="AB433" s="35"/>
      <c r="AC433" s="35"/>
      <c r="AD433" s="35"/>
      <c r="AE433" s="35"/>
      <c r="AF433" s="35"/>
      <c r="AG433" s="48"/>
      <c r="AH433" s="35"/>
      <c r="AI433" s="35"/>
    </row>
    <row r="434" spans="1:35" x14ac:dyDescent="0.25">
      <c r="A434" s="48">
        <v>98</v>
      </c>
      <c r="B434" s="166" t="s">
        <v>160</v>
      </c>
      <c r="C434" s="166" t="s">
        <v>116</v>
      </c>
      <c r="D434" s="150">
        <f t="shared" si="20"/>
        <v>0</v>
      </c>
      <c r="E434" s="35"/>
      <c r="F434" s="35"/>
      <c r="G434" s="35"/>
      <c r="H434" s="35"/>
      <c r="I434" s="35"/>
      <c r="J434" s="35"/>
      <c r="K434" s="35"/>
      <c r="L434" s="35"/>
      <c r="M434" s="35"/>
      <c r="N434" s="48"/>
      <c r="O434" s="35"/>
      <c r="P434" s="35"/>
      <c r="Q434" s="48"/>
      <c r="R434" s="40"/>
      <c r="S434" s="35"/>
      <c r="T434" s="40"/>
      <c r="U434" s="35"/>
      <c r="V434" s="48"/>
      <c r="W434" s="35"/>
      <c r="X434" s="48"/>
      <c r="Y434" s="35"/>
      <c r="Z434" s="35"/>
      <c r="AA434" s="48"/>
      <c r="AB434" s="35"/>
      <c r="AC434" s="35"/>
      <c r="AD434" s="35"/>
      <c r="AE434" s="35"/>
      <c r="AF434" s="35"/>
      <c r="AG434" s="48"/>
      <c r="AH434" s="35"/>
      <c r="AI434" s="35"/>
    </row>
    <row r="435" spans="1:35" x14ac:dyDescent="0.25">
      <c r="A435" s="48">
        <v>99</v>
      </c>
      <c r="B435" s="166" t="s">
        <v>161</v>
      </c>
      <c r="C435" s="166" t="s">
        <v>117</v>
      </c>
      <c r="D435" s="150">
        <f t="shared" si="20"/>
        <v>0</v>
      </c>
      <c r="E435" s="35"/>
      <c r="F435" s="35"/>
      <c r="G435" s="35"/>
      <c r="H435" s="35"/>
      <c r="I435" s="35"/>
      <c r="J435" s="35"/>
      <c r="K435" s="35"/>
      <c r="L435" s="35"/>
      <c r="M435" s="35"/>
      <c r="N435" s="48"/>
      <c r="O435" s="35"/>
      <c r="P435" s="35"/>
      <c r="Q435" s="48"/>
      <c r="R435" s="40"/>
      <c r="S435" s="35"/>
      <c r="T435" s="40"/>
      <c r="U435" s="35"/>
      <c r="V435" s="48"/>
      <c r="W435" s="35"/>
      <c r="X435" s="48"/>
      <c r="Y435" s="35"/>
      <c r="Z435" s="35"/>
      <c r="AA435" s="48"/>
      <c r="AB435" s="35"/>
      <c r="AC435" s="35"/>
      <c r="AD435" s="35"/>
      <c r="AE435" s="35"/>
      <c r="AF435" s="35"/>
      <c r="AG435" s="48"/>
      <c r="AH435" s="35"/>
      <c r="AI435" s="35"/>
    </row>
    <row r="436" spans="1:35" x14ac:dyDescent="0.25">
      <c r="A436" s="48">
        <v>100</v>
      </c>
      <c r="B436" s="166" t="s">
        <v>244</v>
      </c>
      <c r="C436" s="166" t="s">
        <v>243</v>
      </c>
      <c r="D436" s="150">
        <f t="shared" si="20"/>
        <v>720</v>
      </c>
      <c r="E436" s="35"/>
      <c r="F436" s="35"/>
      <c r="G436" s="35"/>
      <c r="H436" s="35"/>
      <c r="I436" s="35">
        <v>720</v>
      </c>
      <c r="J436" s="35"/>
      <c r="K436" s="35"/>
      <c r="L436" s="35"/>
      <c r="M436" s="35"/>
      <c r="N436" s="48"/>
      <c r="O436" s="35"/>
      <c r="P436" s="35"/>
      <c r="Q436" s="48"/>
      <c r="R436" s="40"/>
      <c r="S436" s="35"/>
      <c r="T436" s="40"/>
      <c r="U436" s="35"/>
      <c r="V436" s="48"/>
      <c r="W436" s="35"/>
      <c r="X436" s="48"/>
      <c r="Y436" s="35"/>
      <c r="Z436" s="35"/>
      <c r="AA436" s="48"/>
      <c r="AB436" s="35"/>
      <c r="AC436" s="35"/>
      <c r="AD436" s="35"/>
      <c r="AE436" s="35"/>
      <c r="AF436" s="35"/>
      <c r="AG436" s="48"/>
      <c r="AH436" s="35"/>
      <c r="AI436" s="35"/>
    </row>
    <row r="437" spans="1:35" x14ac:dyDescent="0.25">
      <c r="A437" s="48">
        <v>101</v>
      </c>
      <c r="B437" s="166" t="s">
        <v>362</v>
      </c>
      <c r="C437" s="166" t="s">
        <v>361</v>
      </c>
      <c r="D437" s="150">
        <f t="shared" si="20"/>
        <v>18900</v>
      </c>
      <c r="E437" s="35"/>
      <c r="F437" s="35"/>
      <c r="G437" s="35"/>
      <c r="H437" s="35"/>
      <c r="I437" s="35"/>
      <c r="J437" s="35"/>
      <c r="K437" s="35"/>
      <c r="L437" s="35"/>
      <c r="M437" s="35"/>
      <c r="N437" s="48"/>
      <c r="O437" s="35">
        <v>18900</v>
      </c>
      <c r="P437" s="35"/>
      <c r="Q437" s="48"/>
      <c r="R437" s="40"/>
      <c r="S437" s="35"/>
      <c r="T437" s="40"/>
      <c r="U437" s="35"/>
      <c r="V437" s="48"/>
      <c r="W437" s="35"/>
      <c r="X437" s="48"/>
      <c r="Y437" s="35"/>
      <c r="Z437" s="35"/>
      <c r="AA437" s="48"/>
      <c r="AB437" s="35"/>
      <c r="AC437" s="35"/>
      <c r="AD437" s="35"/>
      <c r="AE437" s="35"/>
      <c r="AF437" s="35"/>
      <c r="AG437" s="48"/>
      <c r="AH437" s="35"/>
      <c r="AI437" s="35"/>
    </row>
    <row r="438" spans="1:35" x14ac:dyDescent="0.25">
      <c r="A438" s="48">
        <v>102</v>
      </c>
      <c r="B438" s="166" t="s">
        <v>334</v>
      </c>
      <c r="C438" s="166" t="s">
        <v>333</v>
      </c>
      <c r="D438" s="150">
        <f t="shared" si="20"/>
        <v>17060</v>
      </c>
      <c r="E438" s="35"/>
      <c r="F438" s="35"/>
      <c r="G438" s="35">
        <v>10000</v>
      </c>
      <c r="H438" s="35"/>
      <c r="I438" s="35">
        <v>7060</v>
      </c>
      <c r="J438" s="35"/>
      <c r="K438" s="35"/>
      <c r="L438" s="35"/>
      <c r="M438" s="35"/>
      <c r="N438" s="48"/>
      <c r="O438" s="35"/>
      <c r="P438" s="35"/>
      <c r="Q438" s="48"/>
      <c r="R438" s="40"/>
      <c r="S438" s="35"/>
      <c r="T438" s="40"/>
      <c r="U438" s="35"/>
      <c r="V438" s="48"/>
      <c r="W438" s="35"/>
      <c r="X438" s="48"/>
      <c r="Y438" s="35"/>
      <c r="Z438" s="35"/>
      <c r="AA438" s="48"/>
      <c r="AB438" s="35"/>
      <c r="AC438" s="35"/>
      <c r="AD438" s="35"/>
      <c r="AE438" s="35"/>
      <c r="AF438" s="35"/>
      <c r="AG438" s="48"/>
      <c r="AH438" s="35"/>
      <c r="AI438" s="35"/>
    </row>
    <row r="439" spans="1:35" x14ac:dyDescent="0.25">
      <c r="A439" s="48">
        <v>103</v>
      </c>
      <c r="B439" s="166" t="s">
        <v>498</v>
      </c>
      <c r="C439" s="166" t="s">
        <v>497</v>
      </c>
      <c r="D439" s="150">
        <f t="shared" si="20"/>
        <v>23000</v>
      </c>
      <c r="E439" s="35"/>
      <c r="F439" s="35"/>
      <c r="G439" s="35"/>
      <c r="H439" s="35"/>
      <c r="I439" s="35"/>
      <c r="J439" s="35"/>
      <c r="K439" s="35"/>
      <c r="L439" s="35"/>
      <c r="M439" s="35"/>
      <c r="N439" s="48"/>
      <c r="O439" s="35">
        <v>23000</v>
      </c>
      <c r="P439" s="35"/>
      <c r="Q439" s="48"/>
      <c r="R439" s="40"/>
      <c r="S439" s="35"/>
      <c r="T439" s="40"/>
      <c r="U439" s="35"/>
      <c r="V439" s="48"/>
      <c r="W439" s="35"/>
      <c r="X439" s="48"/>
      <c r="Y439" s="35"/>
      <c r="Z439" s="35"/>
      <c r="AA439" s="48"/>
      <c r="AB439" s="35"/>
      <c r="AC439" s="35"/>
      <c r="AD439" s="35"/>
      <c r="AE439" s="35"/>
      <c r="AF439" s="35"/>
      <c r="AG439" s="48"/>
      <c r="AH439" s="35"/>
      <c r="AI439" s="35"/>
    </row>
    <row r="440" spans="1:35" x14ac:dyDescent="0.25">
      <c r="A440" s="48">
        <v>104</v>
      </c>
      <c r="B440" s="166" t="s">
        <v>500</v>
      </c>
      <c r="C440" s="166" t="s">
        <v>499</v>
      </c>
      <c r="D440" s="150">
        <f t="shared" si="20"/>
        <v>8000</v>
      </c>
      <c r="E440" s="35"/>
      <c r="F440" s="35"/>
      <c r="G440" s="35"/>
      <c r="H440" s="35"/>
      <c r="I440" s="35"/>
      <c r="J440" s="35"/>
      <c r="K440" s="35"/>
      <c r="L440" s="35"/>
      <c r="M440" s="35"/>
      <c r="N440" s="48"/>
      <c r="O440" s="35"/>
      <c r="P440" s="35"/>
      <c r="Q440" s="48"/>
      <c r="R440" s="40"/>
      <c r="S440" s="35"/>
      <c r="T440" s="40"/>
      <c r="U440" s="35">
        <v>8000</v>
      </c>
      <c r="V440" s="48"/>
      <c r="W440" s="35"/>
      <c r="X440" s="48"/>
      <c r="Y440" s="35"/>
      <c r="Z440" s="35"/>
      <c r="AA440" s="48"/>
      <c r="AB440" s="35"/>
      <c r="AC440" s="35"/>
      <c r="AD440" s="35"/>
      <c r="AE440" s="35"/>
      <c r="AF440" s="35"/>
      <c r="AG440" s="48"/>
      <c r="AH440" s="35"/>
      <c r="AI440" s="35"/>
    </row>
    <row r="441" spans="1:35" x14ac:dyDescent="0.25">
      <c r="A441" s="48">
        <v>105</v>
      </c>
      <c r="B441" s="166" t="s">
        <v>503</v>
      </c>
      <c r="C441" s="166" t="s">
        <v>501</v>
      </c>
      <c r="D441" s="150">
        <f t="shared" si="20"/>
        <v>0</v>
      </c>
      <c r="E441" s="35"/>
      <c r="F441" s="35"/>
      <c r="G441" s="35"/>
      <c r="H441" s="35"/>
      <c r="I441" s="35"/>
      <c r="J441" s="35"/>
      <c r="K441" s="35"/>
      <c r="L441" s="35"/>
      <c r="M441" s="35"/>
      <c r="N441" s="48"/>
      <c r="O441" s="35"/>
      <c r="P441" s="35"/>
      <c r="Q441" s="48"/>
      <c r="R441" s="40"/>
      <c r="S441" s="35"/>
      <c r="T441" s="40"/>
      <c r="U441" s="35"/>
      <c r="V441" s="48"/>
      <c r="W441" s="35"/>
      <c r="X441" s="48"/>
      <c r="Y441" s="35"/>
      <c r="Z441" s="35"/>
      <c r="AA441" s="48"/>
      <c r="AB441" s="35"/>
      <c r="AC441" s="35"/>
      <c r="AD441" s="35"/>
      <c r="AE441" s="35"/>
      <c r="AF441" s="35"/>
      <c r="AG441" s="48"/>
      <c r="AH441" s="35"/>
      <c r="AI441" s="35"/>
    </row>
    <row r="442" spans="1:35" x14ac:dyDescent="0.25">
      <c r="A442" s="48">
        <v>106</v>
      </c>
      <c r="B442" s="166" t="s">
        <v>504</v>
      </c>
      <c r="C442" s="166" t="s">
        <v>502</v>
      </c>
      <c r="D442" s="150">
        <f t="shared" si="20"/>
        <v>0</v>
      </c>
      <c r="E442" s="35"/>
      <c r="F442" s="35"/>
      <c r="G442" s="35"/>
      <c r="H442" s="35"/>
      <c r="I442" s="35"/>
      <c r="J442" s="35"/>
      <c r="K442" s="35"/>
      <c r="L442" s="35"/>
      <c r="M442" s="35"/>
      <c r="N442" s="48"/>
      <c r="O442" s="35"/>
      <c r="P442" s="35"/>
      <c r="Q442" s="48"/>
      <c r="R442" s="40"/>
      <c r="S442" s="35"/>
      <c r="T442" s="40"/>
      <c r="U442" s="35"/>
      <c r="V442" s="48"/>
      <c r="W442" s="35"/>
      <c r="X442" s="48"/>
      <c r="Y442" s="35"/>
      <c r="Z442" s="35"/>
      <c r="AA442" s="48"/>
      <c r="AB442" s="35"/>
      <c r="AC442" s="35"/>
      <c r="AD442" s="35"/>
      <c r="AE442" s="35"/>
      <c r="AF442" s="35"/>
      <c r="AG442" s="48"/>
      <c r="AH442" s="35"/>
      <c r="AI442" s="35"/>
    </row>
    <row r="443" spans="1:35" x14ac:dyDescent="0.25">
      <c r="A443" s="48">
        <v>107</v>
      </c>
      <c r="B443" s="166" t="s">
        <v>506</v>
      </c>
      <c r="C443" s="166" t="s">
        <v>505</v>
      </c>
      <c r="D443" s="150">
        <f t="shared" si="20"/>
        <v>5300</v>
      </c>
      <c r="E443" s="35"/>
      <c r="F443" s="35"/>
      <c r="G443" s="35"/>
      <c r="H443" s="35"/>
      <c r="I443" s="35"/>
      <c r="J443" s="35">
        <v>5300</v>
      </c>
      <c r="K443" s="35"/>
      <c r="L443" s="35"/>
      <c r="M443" s="35"/>
      <c r="N443" s="48"/>
      <c r="O443" s="35"/>
      <c r="P443" s="35"/>
      <c r="Q443" s="48"/>
      <c r="R443" s="40"/>
      <c r="S443" s="35"/>
      <c r="T443" s="40"/>
      <c r="U443" s="35"/>
      <c r="V443" s="48"/>
      <c r="W443" s="35"/>
      <c r="X443" s="48"/>
      <c r="Y443" s="35"/>
      <c r="Z443" s="35"/>
      <c r="AA443" s="48"/>
      <c r="AB443" s="35"/>
      <c r="AC443" s="35"/>
      <c r="AD443" s="35"/>
      <c r="AE443" s="35"/>
      <c r="AF443" s="35"/>
      <c r="AG443" s="48"/>
      <c r="AH443" s="35"/>
      <c r="AI443" s="35"/>
    </row>
    <row r="444" spans="1:35" x14ac:dyDescent="0.25">
      <c r="A444" s="48">
        <v>108</v>
      </c>
      <c r="B444" s="166" t="s">
        <v>252</v>
      </c>
      <c r="C444" s="166" t="s">
        <v>251</v>
      </c>
      <c r="D444" s="150">
        <f t="shared" si="20"/>
        <v>34000</v>
      </c>
      <c r="E444" s="35"/>
      <c r="F444" s="35"/>
      <c r="G444" s="35"/>
      <c r="H444" s="35"/>
      <c r="I444" s="35"/>
      <c r="J444" s="35"/>
      <c r="K444" s="35"/>
      <c r="L444" s="35"/>
      <c r="M444" s="35"/>
      <c r="N444" s="48"/>
      <c r="O444" s="35"/>
      <c r="P444" s="35"/>
      <c r="Q444" s="48">
        <v>4000</v>
      </c>
      <c r="R444" s="40"/>
      <c r="S444" s="35"/>
      <c r="T444" s="40"/>
      <c r="U444" s="35">
        <v>18000</v>
      </c>
      <c r="V444" s="48">
        <v>12000</v>
      </c>
      <c r="W444" s="35"/>
      <c r="X444" s="48"/>
      <c r="Y444" s="35"/>
      <c r="Z444" s="35"/>
      <c r="AA444" s="48"/>
      <c r="AB444" s="35"/>
      <c r="AC444" s="35"/>
      <c r="AD444" s="35"/>
      <c r="AE444" s="35"/>
      <c r="AF444" s="35"/>
      <c r="AG444" s="48"/>
      <c r="AH444" s="35"/>
      <c r="AI444" s="35"/>
    </row>
    <row r="445" spans="1:35" x14ac:dyDescent="0.25">
      <c r="A445" s="48">
        <v>109</v>
      </c>
      <c r="B445" s="166" t="s">
        <v>450</v>
      </c>
      <c r="C445" s="166" t="s">
        <v>453</v>
      </c>
      <c r="D445" s="150">
        <f t="shared" si="20"/>
        <v>0</v>
      </c>
      <c r="E445" s="35"/>
      <c r="F445" s="35"/>
      <c r="G445" s="35"/>
      <c r="H445" s="35"/>
      <c r="I445" s="35"/>
      <c r="J445" s="35"/>
      <c r="K445" s="35"/>
      <c r="L445" s="35"/>
      <c r="M445" s="35"/>
      <c r="N445" s="48"/>
      <c r="O445" s="35"/>
      <c r="P445" s="35"/>
      <c r="Q445" s="48"/>
      <c r="R445" s="40"/>
      <c r="S445" s="35"/>
      <c r="T445" s="40"/>
      <c r="U445" s="35"/>
      <c r="V445" s="48"/>
      <c r="W445" s="35"/>
      <c r="X445" s="48"/>
      <c r="Y445" s="35"/>
      <c r="Z445" s="35"/>
      <c r="AA445" s="48"/>
      <c r="AB445" s="35"/>
      <c r="AC445" s="35"/>
      <c r="AD445" s="35"/>
      <c r="AE445" s="35"/>
      <c r="AF445" s="35"/>
      <c r="AG445" s="48"/>
      <c r="AH445" s="35"/>
      <c r="AI445" s="35"/>
    </row>
    <row r="446" spans="1:35" x14ac:dyDescent="0.25">
      <c r="A446" s="48">
        <v>110</v>
      </c>
      <c r="B446" s="166" t="s">
        <v>451</v>
      </c>
      <c r="C446" s="166" t="s">
        <v>454</v>
      </c>
      <c r="D446" s="150">
        <f t="shared" si="20"/>
        <v>0</v>
      </c>
      <c r="E446" s="35"/>
      <c r="F446" s="35"/>
      <c r="G446" s="35"/>
      <c r="H446" s="35"/>
      <c r="I446" s="35"/>
      <c r="J446" s="35"/>
      <c r="K446" s="35"/>
      <c r="L446" s="35"/>
      <c r="M446" s="35"/>
      <c r="N446" s="48"/>
      <c r="O446" s="35"/>
      <c r="P446" s="35"/>
      <c r="Q446" s="48"/>
      <c r="R446" s="40"/>
      <c r="S446" s="35"/>
      <c r="T446" s="40"/>
      <c r="U446" s="35"/>
      <c r="V446" s="48"/>
      <c r="W446" s="35"/>
      <c r="X446" s="48"/>
      <c r="Y446" s="35"/>
      <c r="Z446" s="35"/>
      <c r="AA446" s="48"/>
      <c r="AB446" s="35"/>
      <c r="AC446" s="35"/>
      <c r="AD446" s="35"/>
      <c r="AE446" s="35"/>
      <c r="AF446" s="35"/>
      <c r="AG446" s="48"/>
      <c r="AH446" s="35"/>
      <c r="AI446" s="35"/>
    </row>
    <row r="447" spans="1:35" x14ac:dyDescent="0.25">
      <c r="A447" s="48">
        <v>111</v>
      </c>
      <c r="B447" s="166" t="s">
        <v>452</v>
      </c>
      <c r="C447" s="166" t="s">
        <v>455</v>
      </c>
      <c r="D447" s="150">
        <f t="shared" si="20"/>
        <v>0</v>
      </c>
      <c r="E447" s="35"/>
      <c r="F447" s="35"/>
      <c r="G447" s="35"/>
      <c r="H447" s="35"/>
      <c r="I447" s="35"/>
      <c r="J447" s="35"/>
      <c r="K447" s="35"/>
      <c r="L447" s="35"/>
      <c r="M447" s="35"/>
      <c r="N447" s="48"/>
      <c r="O447" s="35"/>
      <c r="P447" s="35"/>
      <c r="Q447" s="48"/>
      <c r="R447" s="40"/>
      <c r="S447" s="35"/>
      <c r="T447" s="40"/>
      <c r="U447" s="35"/>
      <c r="V447" s="48"/>
      <c r="W447" s="35"/>
      <c r="X447" s="48"/>
      <c r="Y447" s="35"/>
      <c r="Z447" s="35"/>
      <c r="AA447" s="48"/>
      <c r="AB447" s="35"/>
      <c r="AC447" s="35"/>
      <c r="AD447" s="35"/>
      <c r="AE447" s="35"/>
      <c r="AF447" s="35"/>
      <c r="AG447" s="48"/>
      <c r="AH447" s="35"/>
      <c r="AI447" s="35"/>
    </row>
    <row r="448" spans="1:35" x14ac:dyDescent="0.25">
      <c r="A448" s="48">
        <v>112</v>
      </c>
      <c r="B448" s="166" t="s">
        <v>456</v>
      </c>
      <c r="C448" s="166" t="s">
        <v>457</v>
      </c>
      <c r="D448" s="150">
        <f t="shared" si="20"/>
        <v>648000</v>
      </c>
      <c r="E448" s="35"/>
      <c r="F448" s="35"/>
      <c r="G448" s="35"/>
      <c r="H448" s="35"/>
      <c r="I448" s="35"/>
      <c r="J448" s="35"/>
      <c r="K448" s="35">
        <v>90000</v>
      </c>
      <c r="L448" s="35"/>
      <c r="M448" s="35">
        <v>200000</v>
      </c>
      <c r="N448" s="48"/>
      <c r="O448" s="35">
        <v>100000</v>
      </c>
      <c r="P448" s="35"/>
      <c r="Q448" s="48">
        <v>10000</v>
      </c>
      <c r="R448" s="40"/>
      <c r="S448" s="35"/>
      <c r="T448" s="40"/>
      <c r="U448" s="35"/>
      <c r="V448" s="48"/>
      <c r="W448" s="35"/>
      <c r="X448" s="48"/>
      <c r="Y448" s="35"/>
      <c r="Z448" s="35"/>
      <c r="AA448" s="48"/>
      <c r="AB448" s="35"/>
      <c r="AC448" s="35">
        <v>80000</v>
      </c>
      <c r="AD448" s="35">
        <v>80000</v>
      </c>
      <c r="AE448" s="35">
        <v>88000</v>
      </c>
      <c r="AF448" s="35"/>
      <c r="AG448" s="48"/>
      <c r="AH448" s="35"/>
      <c r="AI448" s="35"/>
    </row>
    <row r="449" spans="1:35" x14ac:dyDescent="0.25">
      <c r="A449" s="48">
        <v>113</v>
      </c>
      <c r="B449" s="166" t="s">
        <v>364</v>
      </c>
      <c r="C449" s="166" t="s">
        <v>363</v>
      </c>
      <c r="D449" s="150">
        <f t="shared" si="20"/>
        <v>10000</v>
      </c>
      <c r="E449" s="35"/>
      <c r="F449" s="35"/>
      <c r="G449" s="35">
        <v>10000</v>
      </c>
      <c r="H449" s="35"/>
      <c r="I449" s="35"/>
      <c r="J449" s="35"/>
      <c r="K449" s="35"/>
      <c r="L449" s="35"/>
      <c r="M449" s="35"/>
      <c r="N449" s="48"/>
      <c r="O449" s="35"/>
      <c r="P449" s="35"/>
      <c r="Q449" s="48"/>
      <c r="R449" s="40"/>
      <c r="S449" s="35"/>
      <c r="T449" s="40"/>
      <c r="U449" s="35"/>
      <c r="V449" s="48"/>
      <c r="W449" s="35"/>
      <c r="X449" s="48"/>
      <c r="Y449" s="35"/>
      <c r="Z449" s="35"/>
      <c r="AA449" s="48"/>
      <c r="AB449" s="35"/>
      <c r="AC449" s="35"/>
      <c r="AD449" s="35"/>
      <c r="AE449" s="35"/>
      <c r="AF449" s="35"/>
      <c r="AG449" s="48"/>
      <c r="AH449" s="35"/>
      <c r="AI449" s="35"/>
    </row>
    <row r="450" spans="1:35" x14ac:dyDescent="0.25">
      <c r="A450" s="48">
        <v>114</v>
      </c>
      <c r="B450" s="166" t="s">
        <v>493</v>
      </c>
      <c r="C450" s="166" t="s">
        <v>492</v>
      </c>
      <c r="D450" s="150">
        <f t="shared" si="20"/>
        <v>0</v>
      </c>
      <c r="E450" s="35"/>
      <c r="F450" s="35"/>
      <c r="G450" s="35"/>
      <c r="H450" s="35"/>
      <c r="I450" s="35"/>
      <c r="J450" s="35"/>
      <c r="K450" s="35"/>
      <c r="L450" s="35"/>
      <c r="M450" s="35"/>
      <c r="N450" s="48"/>
      <c r="O450" s="35"/>
      <c r="P450" s="35"/>
      <c r="Q450" s="48"/>
      <c r="R450" s="40"/>
      <c r="S450" s="35"/>
      <c r="T450" s="40"/>
      <c r="U450" s="35"/>
      <c r="V450" s="48"/>
      <c r="W450" s="35"/>
      <c r="X450" s="48"/>
      <c r="Y450" s="35"/>
      <c r="Z450" s="35"/>
      <c r="AA450" s="48"/>
      <c r="AB450" s="35"/>
      <c r="AC450" s="35"/>
      <c r="AD450" s="35"/>
      <c r="AE450" s="35"/>
      <c r="AF450" s="35"/>
      <c r="AG450" s="48"/>
      <c r="AH450" s="35"/>
      <c r="AI450" s="35"/>
    </row>
    <row r="451" spans="1:35" x14ac:dyDescent="0.25">
      <c r="A451" s="48">
        <v>115</v>
      </c>
      <c r="B451" s="166" t="s">
        <v>625</v>
      </c>
      <c r="C451" s="166" t="s">
        <v>615</v>
      </c>
      <c r="D451" s="150">
        <f t="shared" si="20"/>
        <v>74000</v>
      </c>
      <c r="E451" s="35"/>
      <c r="F451" s="35"/>
      <c r="G451" s="35"/>
      <c r="H451" s="35"/>
      <c r="I451" s="35"/>
      <c r="J451" s="35">
        <v>15000</v>
      </c>
      <c r="K451" s="35">
        <v>30000</v>
      </c>
      <c r="L451" s="35">
        <v>25000</v>
      </c>
      <c r="M451" s="35"/>
      <c r="N451" s="48"/>
      <c r="O451" s="35"/>
      <c r="P451" s="35"/>
      <c r="Q451" s="48"/>
      <c r="R451" s="40"/>
      <c r="S451" s="35"/>
      <c r="T451" s="40"/>
      <c r="U451" s="35"/>
      <c r="V451" s="48"/>
      <c r="W451" s="35"/>
      <c r="X451" s="48"/>
      <c r="Y451" s="35"/>
      <c r="Z451" s="35"/>
      <c r="AA451" s="48"/>
      <c r="AB451" s="35"/>
      <c r="AC451" s="35"/>
      <c r="AD451" s="35">
        <v>4000</v>
      </c>
      <c r="AE451" s="35"/>
      <c r="AF451" s="35"/>
      <c r="AG451" s="48"/>
      <c r="AH451" s="35"/>
      <c r="AI451" s="35"/>
    </row>
    <row r="452" spans="1:35" x14ac:dyDescent="0.25">
      <c r="A452" s="48">
        <v>116</v>
      </c>
      <c r="B452" s="166" t="s">
        <v>626</v>
      </c>
      <c r="C452" s="166" t="s">
        <v>616</v>
      </c>
      <c r="D452" s="150">
        <f t="shared" si="20"/>
        <v>0</v>
      </c>
      <c r="E452" s="35"/>
      <c r="F452" s="35"/>
      <c r="G452" s="35"/>
      <c r="H452" s="35"/>
      <c r="I452" s="35"/>
      <c r="J452" s="35"/>
      <c r="K452" s="35"/>
      <c r="L452" s="35"/>
      <c r="M452" s="35"/>
      <c r="N452" s="48"/>
      <c r="O452" s="35"/>
      <c r="P452" s="35"/>
      <c r="Q452" s="48"/>
      <c r="R452" s="40"/>
      <c r="S452" s="35"/>
      <c r="T452" s="40"/>
      <c r="U452" s="35"/>
      <c r="V452" s="48"/>
      <c r="W452" s="35"/>
      <c r="X452" s="48"/>
      <c r="Y452" s="35"/>
      <c r="Z452" s="35"/>
      <c r="AA452" s="48"/>
      <c r="AB452" s="35"/>
      <c r="AC452" s="35"/>
      <c r="AD452" s="35"/>
      <c r="AE452" s="35"/>
      <c r="AF452" s="35"/>
      <c r="AG452" s="48"/>
      <c r="AH452" s="35"/>
      <c r="AI452" s="35"/>
    </row>
    <row r="453" spans="1:35" x14ac:dyDescent="0.25">
      <c r="A453" s="48">
        <v>117</v>
      </c>
      <c r="B453" s="166" t="s">
        <v>627</v>
      </c>
      <c r="C453" s="166" t="s">
        <v>617</v>
      </c>
      <c r="D453" s="150">
        <f t="shared" si="20"/>
        <v>3500</v>
      </c>
      <c r="E453" s="35">
        <v>3500</v>
      </c>
      <c r="F453" s="35"/>
      <c r="G453" s="35"/>
      <c r="H453" s="35"/>
      <c r="I453" s="35"/>
      <c r="J453" s="35"/>
      <c r="K453" s="35"/>
      <c r="L453" s="35"/>
      <c r="M453" s="35"/>
      <c r="N453" s="48"/>
      <c r="O453" s="35"/>
      <c r="P453" s="35"/>
      <c r="Q453" s="48"/>
      <c r="R453" s="40"/>
      <c r="S453" s="35"/>
      <c r="T453" s="40"/>
      <c r="U453" s="35"/>
      <c r="V453" s="48"/>
      <c r="W453" s="35"/>
      <c r="X453" s="48"/>
      <c r="Y453" s="35"/>
      <c r="Z453" s="35"/>
      <c r="AA453" s="48"/>
      <c r="AB453" s="35"/>
      <c r="AC453" s="35"/>
      <c r="AD453" s="35"/>
      <c r="AE453" s="35"/>
      <c r="AF453" s="35"/>
      <c r="AG453" s="48"/>
      <c r="AH453" s="35"/>
      <c r="AI453" s="35"/>
    </row>
    <row r="454" spans="1:35" x14ac:dyDescent="0.25">
      <c r="A454" s="48">
        <v>118</v>
      </c>
      <c r="B454" s="166" t="s">
        <v>628</v>
      </c>
      <c r="C454" s="166" t="s">
        <v>618</v>
      </c>
      <c r="D454" s="150">
        <f t="shared" si="20"/>
        <v>1000</v>
      </c>
      <c r="E454" s="35"/>
      <c r="F454" s="35"/>
      <c r="G454" s="35"/>
      <c r="H454" s="35"/>
      <c r="I454" s="35"/>
      <c r="J454" s="35"/>
      <c r="K454" s="35"/>
      <c r="L454" s="35"/>
      <c r="M454" s="35"/>
      <c r="N454" s="48"/>
      <c r="O454" s="35"/>
      <c r="P454" s="35"/>
      <c r="Q454" s="48"/>
      <c r="R454" s="40"/>
      <c r="S454" s="35"/>
      <c r="T454" s="40"/>
      <c r="U454" s="35"/>
      <c r="V454" s="48"/>
      <c r="W454" s="35"/>
      <c r="X454" s="48"/>
      <c r="Y454" s="35"/>
      <c r="Z454" s="35"/>
      <c r="AA454" s="48"/>
      <c r="AB454" s="35"/>
      <c r="AC454" s="35"/>
      <c r="AD454" s="35"/>
      <c r="AE454" s="35"/>
      <c r="AF454" s="35">
        <v>1000</v>
      </c>
      <c r="AG454" s="48"/>
      <c r="AH454" s="35"/>
      <c r="AI454" s="35"/>
    </row>
    <row r="455" spans="1:35" x14ac:dyDescent="0.25">
      <c r="A455" s="48">
        <v>119</v>
      </c>
      <c r="B455" s="166" t="s">
        <v>629</v>
      </c>
      <c r="C455" s="166" t="s">
        <v>619</v>
      </c>
      <c r="D455" s="150">
        <f t="shared" si="20"/>
        <v>1950</v>
      </c>
      <c r="E455" s="35"/>
      <c r="F455" s="35"/>
      <c r="G455" s="35"/>
      <c r="H455" s="35"/>
      <c r="I455" s="35"/>
      <c r="J455" s="35"/>
      <c r="K455" s="35"/>
      <c r="L455" s="35"/>
      <c r="M455" s="35"/>
      <c r="N455" s="48"/>
      <c r="O455" s="35"/>
      <c r="P455" s="35"/>
      <c r="Q455" s="48"/>
      <c r="R455" s="40"/>
      <c r="S455" s="35"/>
      <c r="T455" s="40"/>
      <c r="U455" s="35"/>
      <c r="V455" s="48"/>
      <c r="W455" s="35"/>
      <c r="X455" s="48"/>
      <c r="Y455" s="35"/>
      <c r="Z455" s="35"/>
      <c r="AA455" s="48"/>
      <c r="AB455" s="35"/>
      <c r="AC455" s="35"/>
      <c r="AD455" s="35"/>
      <c r="AE455" s="35"/>
      <c r="AF455" s="35">
        <v>1950</v>
      </c>
      <c r="AG455" s="48"/>
      <c r="AH455" s="35"/>
      <c r="AI455" s="35"/>
    </row>
    <row r="456" spans="1:35" x14ac:dyDescent="0.25">
      <c r="A456" s="48">
        <v>120</v>
      </c>
      <c r="B456" s="166" t="s">
        <v>630</v>
      </c>
      <c r="C456" s="166" t="s">
        <v>620</v>
      </c>
      <c r="D456" s="150">
        <f t="shared" si="20"/>
        <v>9600</v>
      </c>
      <c r="E456" s="35"/>
      <c r="F456" s="35"/>
      <c r="G456" s="35"/>
      <c r="H456" s="35"/>
      <c r="I456" s="35"/>
      <c r="J456" s="35"/>
      <c r="K456" s="35"/>
      <c r="L456" s="35"/>
      <c r="M456" s="35"/>
      <c r="N456" s="48"/>
      <c r="O456" s="35"/>
      <c r="P456" s="35"/>
      <c r="Q456" s="48">
        <v>4600</v>
      </c>
      <c r="R456" s="40"/>
      <c r="S456" s="35"/>
      <c r="T456" s="40"/>
      <c r="U456" s="35"/>
      <c r="V456" s="48"/>
      <c r="W456" s="35"/>
      <c r="X456" s="48"/>
      <c r="Y456" s="35"/>
      <c r="Z456" s="35"/>
      <c r="AA456" s="48"/>
      <c r="AB456" s="35"/>
      <c r="AC456" s="35"/>
      <c r="AD456" s="35"/>
      <c r="AE456" s="35">
        <v>5000</v>
      </c>
      <c r="AF456" s="35"/>
      <c r="AG456" s="48"/>
      <c r="AH456" s="35"/>
      <c r="AI456" s="35"/>
    </row>
    <row r="457" spans="1:35" x14ac:dyDescent="0.25">
      <c r="A457" s="48">
        <v>121</v>
      </c>
      <c r="B457" s="166" t="s">
        <v>631</v>
      </c>
      <c r="C457" s="166" t="s">
        <v>621</v>
      </c>
      <c r="D457" s="150">
        <f t="shared" si="20"/>
        <v>486</v>
      </c>
      <c r="E457" s="35"/>
      <c r="F457" s="35"/>
      <c r="G457" s="35"/>
      <c r="H457" s="35"/>
      <c r="I457" s="35"/>
      <c r="J457" s="35"/>
      <c r="K457" s="35"/>
      <c r="L457" s="35"/>
      <c r="M457" s="35"/>
      <c r="N457" s="48"/>
      <c r="O457" s="35"/>
      <c r="P457" s="35"/>
      <c r="Q457" s="48"/>
      <c r="R457" s="40"/>
      <c r="S457" s="35"/>
      <c r="T457" s="40"/>
      <c r="U457" s="35"/>
      <c r="V457" s="48"/>
      <c r="W457" s="35"/>
      <c r="X457" s="48">
        <v>486</v>
      </c>
      <c r="Y457" s="35"/>
      <c r="Z457" s="35"/>
      <c r="AA457" s="48"/>
      <c r="AB457" s="35"/>
      <c r="AC457" s="35"/>
      <c r="AD457" s="35"/>
      <c r="AE457" s="35"/>
      <c r="AF457" s="35"/>
      <c r="AG457" s="48"/>
      <c r="AH457" s="35"/>
      <c r="AI457" s="35"/>
    </row>
    <row r="458" spans="1:35" x14ac:dyDescent="0.25">
      <c r="A458" s="48">
        <v>122</v>
      </c>
      <c r="B458" s="166" t="s">
        <v>632</v>
      </c>
      <c r="C458" s="166" t="s">
        <v>622</v>
      </c>
      <c r="D458" s="150">
        <f t="shared" si="20"/>
        <v>4000</v>
      </c>
      <c r="E458" s="35"/>
      <c r="F458" s="35"/>
      <c r="G458" s="35"/>
      <c r="H458" s="35"/>
      <c r="I458" s="35"/>
      <c r="J458" s="35"/>
      <c r="K458" s="35"/>
      <c r="L458" s="35"/>
      <c r="M458" s="35"/>
      <c r="N458" s="48"/>
      <c r="O458" s="35"/>
      <c r="P458" s="35">
        <v>4000</v>
      </c>
      <c r="Q458" s="48"/>
      <c r="R458" s="40"/>
      <c r="S458" s="35"/>
      <c r="T458" s="40"/>
      <c r="U458" s="35"/>
      <c r="V458" s="48"/>
      <c r="W458" s="35"/>
      <c r="X458" s="48"/>
      <c r="Y458" s="35"/>
      <c r="Z458" s="35"/>
      <c r="AA458" s="48"/>
      <c r="AB458" s="35"/>
      <c r="AC458" s="35"/>
      <c r="AD458" s="35"/>
      <c r="AE458" s="35"/>
      <c r="AF458" s="35"/>
      <c r="AG458" s="48"/>
      <c r="AH458" s="35"/>
      <c r="AI458" s="35"/>
    </row>
    <row r="459" spans="1:35" x14ac:dyDescent="0.25">
      <c r="A459" s="48">
        <v>123</v>
      </c>
      <c r="B459" s="166" t="s">
        <v>633</v>
      </c>
      <c r="C459" s="166" t="s">
        <v>623</v>
      </c>
      <c r="D459" s="150">
        <f t="shared" si="20"/>
        <v>31849</v>
      </c>
      <c r="E459" s="35">
        <v>10000</v>
      </c>
      <c r="F459" s="35"/>
      <c r="G459" s="35"/>
      <c r="H459" s="35">
        <v>13949</v>
      </c>
      <c r="I459" s="35"/>
      <c r="J459" s="35"/>
      <c r="K459" s="35"/>
      <c r="L459" s="35"/>
      <c r="M459" s="35"/>
      <c r="N459" s="48"/>
      <c r="O459" s="35"/>
      <c r="P459" s="35"/>
      <c r="Q459" s="48"/>
      <c r="R459" s="40"/>
      <c r="S459" s="35"/>
      <c r="T459" s="40"/>
      <c r="U459" s="35"/>
      <c r="V459" s="48"/>
      <c r="W459" s="35"/>
      <c r="X459" s="48"/>
      <c r="Y459" s="35"/>
      <c r="Z459" s="35">
        <v>7700</v>
      </c>
      <c r="AA459" s="48"/>
      <c r="AB459" s="35"/>
      <c r="AC459" s="35"/>
      <c r="AD459" s="35"/>
      <c r="AE459" s="35"/>
      <c r="AF459" s="35"/>
      <c r="AG459" s="48"/>
      <c r="AH459" s="35">
        <v>200</v>
      </c>
      <c r="AI459" s="35"/>
    </row>
    <row r="460" spans="1:35" x14ac:dyDescent="0.25">
      <c r="A460" s="48">
        <v>124</v>
      </c>
      <c r="B460" s="166" t="s">
        <v>634</v>
      </c>
      <c r="C460" s="166" t="s">
        <v>624</v>
      </c>
      <c r="D460" s="150">
        <f t="shared" si="20"/>
        <v>5000</v>
      </c>
      <c r="E460" s="35"/>
      <c r="F460" s="35"/>
      <c r="G460" s="35"/>
      <c r="H460" s="35"/>
      <c r="I460" s="35"/>
      <c r="J460" s="35"/>
      <c r="K460" s="35"/>
      <c r="L460" s="35"/>
      <c r="M460" s="35"/>
      <c r="N460" s="137"/>
      <c r="O460" s="35"/>
      <c r="P460" s="35"/>
      <c r="Q460" s="48"/>
      <c r="R460" s="40"/>
      <c r="S460" s="35"/>
      <c r="T460" s="40"/>
      <c r="U460" s="35"/>
      <c r="V460" s="48"/>
      <c r="W460" s="35"/>
      <c r="X460" s="35"/>
      <c r="Y460" s="35"/>
      <c r="Z460" s="35"/>
      <c r="AA460" s="48"/>
      <c r="AB460" s="35"/>
      <c r="AC460" s="35"/>
      <c r="AD460" s="35"/>
      <c r="AE460" s="35">
        <v>5000</v>
      </c>
      <c r="AF460" s="35"/>
      <c r="AG460" s="48"/>
      <c r="AH460" s="35"/>
      <c r="AI460" s="35"/>
    </row>
    <row r="461" spans="1:35" x14ac:dyDescent="0.25">
      <c r="A461" s="48">
        <v>125</v>
      </c>
      <c r="B461" s="166" t="s">
        <v>510</v>
      </c>
      <c r="C461" s="166" t="s">
        <v>509</v>
      </c>
      <c r="D461" s="150">
        <f t="shared" si="20"/>
        <v>3110</v>
      </c>
      <c r="E461" s="35"/>
      <c r="F461" s="35"/>
      <c r="G461" s="35"/>
      <c r="H461" s="35"/>
      <c r="I461" s="35"/>
      <c r="J461" s="35"/>
      <c r="K461" s="35"/>
      <c r="L461" s="35"/>
      <c r="M461" s="35"/>
      <c r="N461" s="48">
        <v>1000</v>
      </c>
      <c r="O461" s="35"/>
      <c r="P461" s="35"/>
      <c r="Q461" s="48"/>
      <c r="R461" s="40"/>
      <c r="S461" s="35"/>
      <c r="T461" s="40"/>
      <c r="U461" s="35"/>
      <c r="V461" s="48"/>
      <c r="W461" s="35"/>
      <c r="X461" s="35"/>
      <c r="Y461" s="35">
        <v>2110</v>
      </c>
      <c r="Z461" s="35"/>
      <c r="AA461" s="48"/>
      <c r="AB461" s="35"/>
      <c r="AC461" s="35"/>
      <c r="AD461" s="35"/>
      <c r="AE461" s="35"/>
      <c r="AF461" s="35"/>
      <c r="AG461" s="48"/>
      <c r="AH461" s="35"/>
      <c r="AI461" s="35"/>
    </row>
    <row r="462" spans="1:35" x14ac:dyDescent="0.25">
      <c r="A462" s="48">
        <v>126</v>
      </c>
      <c r="B462" s="166" t="s">
        <v>637</v>
      </c>
      <c r="C462" s="166" t="s">
        <v>635</v>
      </c>
      <c r="D462" s="150">
        <f t="shared" si="20"/>
        <v>60000</v>
      </c>
      <c r="E462" s="35"/>
      <c r="F462" s="35"/>
      <c r="G462" s="35"/>
      <c r="H462" s="35"/>
      <c r="I462" s="35"/>
      <c r="J462" s="35"/>
      <c r="K462" s="35"/>
      <c r="L462" s="35">
        <v>30000</v>
      </c>
      <c r="M462" s="35"/>
      <c r="N462" s="48">
        <v>30000</v>
      </c>
      <c r="O462" s="35"/>
      <c r="P462" s="35"/>
      <c r="Q462" s="48"/>
      <c r="R462" s="40"/>
      <c r="S462" s="35"/>
      <c r="T462" s="40"/>
      <c r="U462" s="35"/>
      <c r="V462" s="48"/>
      <c r="W462" s="35"/>
      <c r="X462" s="35"/>
      <c r="Y462" s="35"/>
      <c r="Z462" s="35"/>
      <c r="AA462" s="48"/>
      <c r="AB462" s="35"/>
      <c r="AC462" s="35"/>
      <c r="AD462" s="35"/>
      <c r="AE462" s="35"/>
      <c r="AF462" s="35"/>
      <c r="AG462" s="48"/>
      <c r="AH462" s="35"/>
      <c r="AI462" s="35"/>
    </row>
    <row r="463" spans="1:35" x14ac:dyDescent="0.25">
      <c r="A463" s="48">
        <v>127</v>
      </c>
      <c r="B463" s="176" t="s">
        <v>1169</v>
      </c>
      <c r="C463" s="176" t="s">
        <v>1168</v>
      </c>
      <c r="D463" s="150">
        <f t="shared" si="20"/>
        <v>11000</v>
      </c>
      <c r="E463" s="35"/>
      <c r="F463" s="35"/>
      <c r="G463" s="35"/>
      <c r="H463" s="35"/>
      <c r="I463" s="35"/>
      <c r="J463" s="35"/>
      <c r="K463" s="35"/>
      <c r="L463" s="35"/>
      <c r="M463" s="35"/>
      <c r="N463" s="48"/>
      <c r="O463" s="35"/>
      <c r="P463" s="35"/>
      <c r="Q463" s="48"/>
      <c r="R463" s="40"/>
      <c r="S463" s="35"/>
      <c r="T463" s="40"/>
      <c r="U463" s="35"/>
      <c r="V463" s="48"/>
      <c r="W463" s="35"/>
      <c r="X463" s="35"/>
      <c r="Y463" s="35"/>
      <c r="Z463" s="35"/>
      <c r="AA463" s="48"/>
      <c r="AB463" s="35"/>
      <c r="AC463" s="35">
        <v>11000</v>
      </c>
      <c r="AD463" s="35"/>
      <c r="AE463" s="35"/>
      <c r="AF463" s="35"/>
      <c r="AG463" s="48"/>
      <c r="AH463" s="35"/>
      <c r="AI463" s="35"/>
    </row>
    <row r="464" spans="1:35" x14ac:dyDescent="0.25">
      <c r="A464" s="48">
        <v>128</v>
      </c>
      <c r="B464" s="176" t="s">
        <v>1171</v>
      </c>
      <c r="C464" s="176" t="s">
        <v>1170</v>
      </c>
      <c r="D464" s="150">
        <f t="shared" si="20"/>
        <v>800</v>
      </c>
      <c r="E464" s="35"/>
      <c r="F464" s="35"/>
      <c r="G464" s="35"/>
      <c r="H464" s="35"/>
      <c r="I464" s="35"/>
      <c r="J464" s="35"/>
      <c r="K464" s="35"/>
      <c r="L464" s="35"/>
      <c r="M464" s="35"/>
      <c r="N464" s="48"/>
      <c r="O464" s="35"/>
      <c r="P464" s="35"/>
      <c r="Q464" s="48"/>
      <c r="R464" s="40"/>
      <c r="S464" s="35"/>
      <c r="T464" s="40"/>
      <c r="U464" s="35"/>
      <c r="V464" s="35"/>
      <c r="W464" s="35"/>
      <c r="X464" s="35"/>
      <c r="Y464" s="35"/>
      <c r="Z464" s="35"/>
      <c r="AA464" s="48"/>
      <c r="AB464" s="35"/>
      <c r="AC464" s="35">
        <v>800</v>
      </c>
      <c r="AD464" s="35"/>
      <c r="AE464" s="35"/>
      <c r="AF464" s="35"/>
      <c r="AG464" s="48"/>
      <c r="AH464" s="35"/>
      <c r="AI464" s="35"/>
    </row>
    <row r="465" spans="1:35" x14ac:dyDescent="0.25">
      <c r="A465" s="48">
        <v>129</v>
      </c>
      <c r="B465" s="166" t="s">
        <v>638</v>
      </c>
      <c r="C465" s="166" t="s">
        <v>636</v>
      </c>
      <c r="D465" s="150">
        <f t="shared" ref="D465:D494" si="21">SUM(E465:AI465)</f>
        <v>950</v>
      </c>
      <c r="E465" s="35"/>
      <c r="F465" s="35"/>
      <c r="G465" s="35"/>
      <c r="H465" s="35"/>
      <c r="I465" s="35"/>
      <c r="J465" s="35"/>
      <c r="K465" s="35"/>
      <c r="L465" s="35"/>
      <c r="M465" s="35"/>
      <c r="N465" s="48"/>
      <c r="O465" s="35"/>
      <c r="P465" s="35"/>
      <c r="Q465" s="48"/>
      <c r="R465" s="40"/>
      <c r="S465" s="35"/>
      <c r="T465" s="40"/>
      <c r="U465" s="35"/>
      <c r="V465" s="35"/>
      <c r="W465" s="35"/>
      <c r="X465" s="35"/>
      <c r="Y465" s="35"/>
      <c r="Z465" s="35"/>
      <c r="AA465" s="48"/>
      <c r="AB465" s="35"/>
      <c r="AC465" s="35"/>
      <c r="AD465" s="35"/>
      <c r="AE465" s="35"/>
      <c r="AF465" s="35">
        <v>950</v>
      </c>
      <c r="AG465" s="48"/>
      <c r="AH465" s="35"/>
      <c r="AI465" s="35"/>
    </row>
    <row r="466" spans="1:35" x14ac:dyDescent="0.25">
      <c r="A466" s="48">
        <v>130</v>
      </c>
      <c r="B466" s="166" t="s">
        <v>685</v>
      </c>
      <c r="C466" s="166" t="s">
        <v>684</v>
      </c>
      <c r="D466" s="150">
        <f t="shared" si="21"/>
        <v>12500</v>
      </c>
      <c r="E466" s="35"/>
      <c r="F466" s="35"/>
      <c r="G466" s="35"/>
      <c r="H466" s="35"/>
      <c r="I466" s="35"/>
      <c r="J466" s="35"/>
      <c r="K466" s="35"/>
      <c r="L466" s="35"/>
      <c r="M466" s="35"/>
      <c r="N466" s="48"/>
      <c r="O466" s="35"/>
      <c r="P466" s="35"/>
      <c r="Q466" s="48"/>
      <c r="R466" s="40"/>
      <c r="S466" s="35"/>
      <c r="T466" s="40"/>
      <c r="U466" s="35">
        <v>12500</v>
      </c>
      <c r="V466" s="35"/>
      <c r="W466" s="35"/>
      <c r="X466" s="35"/>
      <c r="Y466" s="35"/>
      <c r="Z466" s="35"/>
      <c r="AA466" s="48"/>
      <c r="AB466" s="35"/>
      <c r="AC466" s="35"/>
      <c r="AD466" s="35"/>
      <c r="AE466" s="35"/>
      <c r="AF466" s="35"/>
      <c r="AG466" s="48"/>
      <c r="AH466" s="35"/>
      <c r="AI466" s="35"/>
    </row>
    <row r="467" spans="1:35" x14ac:dyDescent="0.25">
      <c r="A467" s="48">
        <v>131</v>
      </c>
      <c r="B467" s="166" t="s">
        <v>512</v>
      </c>
      <c r="C467" s="166" t="s">
        <v>511</v>
      </c>
      <c r="D467" s="150">
        <f t="shared" si="21"/>
        <v>1750</v>
      </c>
      <c r="E467" s="35"/>
      <c r="F467" s="35"/>
      <c r="G467" s="35"/>
      <c r="H467" s="35"/>
      <c r="I467" s="35"/>
      <c r="J467" s="35"/>
      <c r="K467" s="35"/>
      <c r="L467" s="35"/>
      <c r="M467" s="35"/>
      <c r="N467" s="48"/>
      <c r="O467" s="35">
        <v>1750</v>
      </c>
      <c r="P467" s="35"/>
      <c r="Q467" s="48"/>
      <c r="R467" s="40"/>
      <c r="S467" s="35"/>
      <c r="T467" s="40"/>
      <c r="U467" s="35"/>
      <c r="V467" s="35"/>
      <c r="W467" s="35"/>
      <c r="X467" s="35"/>
      <c r="Y467" s="35"/>
      <c r="Z467" s="35"/>
      <c r="AA467" s="48"/>
      <c r="AB467" s="35"/>
      <c r="AC467" s="35"/>
      <c r="AD467" s="35"/>
      <c r="AE467" s="35"/>
      <c r="AF467" s="35"/>
      <c r="AG467" s="48"/>
      <c r="AH467" s="35"/>
      <c r="AI467" s="35"/>
    </row>
    <row r="468" spans="1:35" x14ac:dyDescent="0.25">
      <c r="A468" s="48">
        <v>132</v>
      </c>
      <c r="B468" s="166" t="s">
        <v>535</v>
      </c>
      <c r="C468" s="166" t="s">
        <v>534</v>
      </c>
      <c r="D468" s="150">
        <f t="shared" si="21"/>
        <v>8500</v>
      </c>
      <c r="E468" s="35"/>
      <c r="F468" s="35"/>
      <c r="G468" s="35"/>
      <c r="H468" s="35"/>
      <c r="I468" s="35"/>
      <c r="J468" s="35"/>
      <c r="K468" s="35"/>
      <c r="L468" s="35"/>
      <c r="M468" s="35"/>
      <c r="N468" s="48"/>
      <c r="O468" s="35"/>
      <c r="P468" s="35"/>
      <c r="Q468" s="48"/>
      <c r="R468" s="40"/>
      <c r="S468" s="35"/>
      <c r="T468" s="40"/>
      <c r="U468" s="35"/>
      <c r="V468" s="35"/>
      <c r="W468" s="35"/>
      <c r="X468" s="35"/>
      <c r="Y468" s="35"/>
      <c r="Z468" s="35"/>
      <c r="AA468" s="48"/>
      <c r="AB468" s="35"/>
      <c r="AC468" s="35"/>
      <c r="AD468" s="35"/>
      <c r="AE468" s="35"/>
      <c r="AF468" s="35"/>
      <c r="AG468" s="48"/>
      <c r="AH468" s="35">
        <v>8500</v>
      </c>
      <c r="AI468" s="35"/>
    </row>
    <row r="469" spans="1:35" x14ac:dyDescent="0.25">
      <c r="A469" s="48">
        <v>133</v>
      </c>
      <c r="B469" s="166" t="s">
        <v>536</v>
      </c>
      <c r="C469" s="166" t="s">
        <v>537</v>
      </c>
      <c r="D469" s="150">
        <f t="shared" si="21"/>
        <v>18100</v>
      </c>
      <c r="E469" s="35"/>
      <c r="F469" s="35"/>
      <c r="G469" s="35"/>
      <c r="H469" s="35"/>
      <c r="I469" s="35"/>
      <c r="J469" s="35"/>
      <c r="K469" s="35"/>
      <c r="L469" s="35"/>
      <c r="M469" s="35"/>
      <c r="N469" s="48"/>
      <c r="O469" s="35">
        <v>10100</v>
      </c>
      <c r="P469" s="35"/>
      <c r="Q469" s="48"/>
      <c r="R469" s="40"/>
      <c r="S469" s="35"/>
      <c r="T469" s="40"/>
      <c r="U469" s="35"/>
      <c r="V469" s="35"/>
      <c r="W469" s="35"/>
      <c r="X469" s="35"/>
      <c r="Y469" s="35"/>
      <c r="Z469" s="35"/>
      <c r="AA469" s="48"/>
      <c r="AB469" s="35"/>
      <c r="AC469" s="35"/>
      <c r="AD469" s="35"/>
      <c r="AE469" s="35"/>
      <c r="AF469" s="35"/>
      <c r="AG469" s="48"/>
      <c r="AH469" s="35">
        <v>8000</v>
      </c>
      <c r="AI469" s="35"/>
    </row>
    <row r="470" spans="1:35" x14ac:dyDescent="0.25">
      <c r="A470" s="48">
        <v>134</v>
      </c>
      <c r="B470" s="166" t="s">
        <v>760</v>
      </c>
      <c r="C470" s="166" t="s">
        <v>759</v>
      </c>
      <c r="D470" s="150">
        <f t="shared" si="21"/>
        <v>2000</v>
      </c>
      <c r="E470" s="35"/>
      <c r="F470" s="35"/>
      <c r="G470" s="35">
        <v>2000</v>
      </c>
      <c r="H470" s="35"/>
      <c r="I470" s="35"/>
      <c r="J470" s="35"/>
      <c r="K470" s="35"/>
      <c r="L470" s="35"/>
      <c r="M470" s="35"/>
      <c r="N470" s="137"/>
      <c r="O470" s="35"/>
      <c r="P470" s="35"/>
      <c r="Q470" s="48"/>
      <c r="R470" s="40"/>
      <c r="S470" s="35"/>
      <c r="T470" s="40"/>
      <c r="U470" s="35"/>
      <c r="V470" s="35"/>
      <c r="W470" s="35"/>
      <c r="X470" s="35"/>
      <c r="Y470" s="35"/>
      <c r="Z470" s="35"/>
      <c r="AA470" s="48"/>
      <c r="AB470" s="35"/>
      <c r="AC470" s="35"/>
      <c r="AD470" s="35"/>
      <c r="AE470" s="35"/>
      <c r="AF470" s="35"/>
      <c r="AG470" s="48"/>
      <c r="AH470" s="35"/>
      <c r="AI470" s="35"/>
    </row>
    <row r="471" spans="1:35" x14ac:dyDescent="0.25">
      <c r="A471" s="48">
        <v>135</v>
      </c>
      <c r="B471" s="176" t="s">
        <v>1050</v>
      </c>
      <c r="C471" s="176" t="s">
        <v>1047</v>
      </c>
      <c r="D471" s="150">
        <f t="shared" si="21"/>
        <v>3010</v>
      </c>
      <c r="E471" s="35"/>
      <c r="F471" s="35"/>
      <c r="G471" s="35"/>
      <c r="H471" s="35"/>
      <c r="I471" s="35"/>
      <c r="J471" s="35"/>
      <c r="K471" s="35"/>
      <c r="L471" s="35"/>
      <c r="M471" s="35"/>
      <c r="N471" s="48"/>
      <c r="O471" s="35"/>
      <c r="P471" s="35">
        <v>3010</v>
      </c>
      <c r="Q471" s="48"/>
      <c r="R471" s="40"/>
      <c r="S471" s="35"/>
      <c r="T471" s="40"/>
      <c r="U471" s="35"/>
      <c r="V471" s="35"/>
      <c r="W471" s="35"/>
      <c r="X471" s="35"/>
      <c r="Y471" s="35"/>
      <c r="Z471" s="35"/>
      <c r="AA471" s="48"/>
      <c r="AB471" s="35"/>
      <c r="AC471" s="35"/>
      <c r="AD471" s="35"/>
      <c r="AE471" s="35"/>
      <c r="AF471" s="35"/>
      <c r="AG471" s="48"/>
      <c r="AH471" s="35"/>
      <c r="AI471" s="35"/>
    </row>
    <row r="472" spans="1:35" x14ac:dyDescent="0.25">
      <c r="A472" s="48">
        <v>136</v>
      </c>
      <c r="B472" s="176" t="s">
        <v>1051</v>
      </c>
      <c r="C472" s="176" t="s">
        <v>1048</v>
      </c>
      <c r="D472" s="150">
        <f t="shared" si="21"/>
        <v>2528</v>
      </c>
      <c r="E472" s="35"/>
      <c r="F472" s="35"/>
      <c r="G472" s="35"/>
      <c r="H472" s="35"/>
      <c r="I472" s="35"/>
      <c r="J472" s="35"/>
      <c r="K472" s="35"/>
      <c r="L472" s="35"/>
      <c r="M472" s="35"/>
      <c r="N472" s="48"/>
      <c r="O472" s="35"/>
      <c r="P472" s="35">
        <f>2750-222</f>
        <v>2528</v>
      </c>
      <c r="Q472" s="48"/>
      <c r="R472" s="40"/>
      <c r="S472" s="35"/>
      <c r="T472" s="40"/>
      <c r="U472" s="35"/>
      <c r="V472" s="35"/>
      <c r="W472" s="35"/>
      <c r="X472" s="35"/>
      <c r="Y472" s="35"/>
      <c r="Z472" s="35"/>
      <c r="AA472" s="48"/>
      <c r="AB472" s="35"/>
      <c r="AC472" s="35"/>
      <c r="AD472" s="35"/>
      <c r="AE472" s="35"/>
      <c r="AF472" s="35"/>
      <c r="AG472" s="48"/>
      <c r="AH472" s="35"/>
      <c r="AI472" s="35"/>
    </row>
    <row r="473" spans="1:35" x14ac:dyDescent="0.25">
      <c r="A473" s="48">
        <v>137</v>
      </c>
      <c r="B473" s="176" t="s">
        <v>1052</v>
      </c>
      <c r="C473" s="176" t="s">
        <v>1049</v>
      </c>
      <c r="D473" s="150">
        <f t="shared" si="21"/>
        <v>600</v>
      </c>
      <c r="E473" s="35"/>
      <c r="F473" s="35"/>
      <c r="G473" s="35"/>
      <c r="H473" s="35"/>
      <c r="I473" s="35"/>
      <c r="J473" s="35"/>
      <c r="K473" s="35"/>
      <c r="L473" s="35"/>
      <c r="M473" s="35"/>
      <c r="N473" s="48"/>
      <c r="O473" s="35"/>
      <c r="P473" s="35">
        <v>600</v>
      </c>
      <c r="Q473" s="48"/>
      <c r="R473" s="40"/>
      <c r="S473" s="35"/>
      <c r="T473" s="40"/>
      <c r="U473" s="35"/>
      <c r="V473" s="35"/>
      <c r="W473" s="35"/>
      <c r="X473" s="35"/>
      <c r="Y473" s="35"/>
      <c r="Z473" s="35"/>
      <c r="AA473" s="48"/>
      <c r="AB473" s="35"/>
      <c r="AC473" s="35"/>
      <c r="AD473" s="35"/>
      <c r="AE473" s="35"/>
      <c r="AF473" s="35"/>
      <c r="AG473" s="48"/>
      <c r="AH473" s="35"/>
      <c r="AI473" s="35"/>
    </row>
    <row r="474" spans="1:35" x14ac:dyDescent="0.25">
      <c r="A474" s="48">
        <v>138</v>
      </c>
      <c r="B474" s="176" t="s">
        <v>1054</v>
      </c>
      <c r="C474" s="176" t="s">
        <v>1053</v>
      </c>
      <c r="D474" s="150">
        <f t="shared" si="21"/>
        <v>108500</v>
      </c>
      <c r="E474" s="35"/>
      <c r="F474" s="35"/>
      <c r="G474" s="35"/>
      <c r="H474" s="35"/>
      <c r="I474" s="35"/>
      <c r="J474" s="35"/>
      <c r="K474" s="35"/>
      <c r="L474" s="35"/>
      <c r="M474" s="35"/>
      <c r="N474" s="48"/>
      <c r="O474" s="35"/>
      <c r="P474" s="35">
        <v>23700</v>
      </c>
      <c r="Q474" s="48"/>
      <c r="R474" s="35"/>
      <c r="S474" s="35"/>
      <c r="T474" s="40"/>
      <c r="U474" s="35"/>
      <c r="V474" s="35"/>
      <c r="W474" s="35"/>
      <c r="X474" s="35">
        <v>40000</v>
      </c>
      <c r="Y474" s="35"/>
      <c r="Z474" s="35"/>
      <c r="AA474" s="48"/>
      <c r="AB474" s="35"/>
      <c r="AC474" s="35">
        <v>24800</v>
      </c>
      <c r="AD474" s="35"/>
      <c r="AE474" s="35">
        <v>20000</v>
      </c>
      <c r="AF474" s="35"/>
      <c r="AG474" s="48"/>
      <c r="AH474" s="35"/>
      <c r="AI474" s="35"/>
    </row>
    <row r="475" spans="1:35" x14ac:dyDescent="0.25">
      <c r="A475" s="48">
        <v>139</v>
      </c>
      <c r="B475" s="176" t="s">
        <v>889</v>
      </c>
      <c r="C475" s="176" t="s">
        <v>888</v>
      </c>
      <c r="D475" s="150">
        <f t="shared" si="21"/>
        <v>9200</v>
      </c>
      <c r="E475" s="35"/>
      <c r="F475" s="35"/>
      <c r="G475" s="35"/>
      <c r="H475" s="35"/>
      <c r="I475" s="35"/>
      <c r="J475" s="35"/>
      <c r="K475" s="35"/>
      <c r="L475" s="35"/>
      <c r="M475" s="35"/>
      <c r="N475" s="48">
        <v>9200</v>
      </c>
      <c r="O475" s="35"/>
      <c r="P475" s="35"/>
      <c r="Q475" s="48"/>
      <c r="R475" s="35"/>
      <c r="S475" s="35"/>
      <c r="T475" s="40"/>
      <c r="U475" s="35"/>
      <c r="V475" s="35"/>
      <c r="W475" s="35"/>
      <c r="X475" s="35"/>
      <c r="Y475" s="35"/>
      <c r="Z475" s="35"/>
      <c r="AA475" s="48"/>
      <c r="AB475" s="35"/>
      <c r="AC475" s="35"/>
      <c r="AD475" s="35"/>
      <c r="AE475" s="35"/>
      <c r="AF475" s="35"/>
      <c r="AG475" s="48"/>
      <c r="AH475" s="35"/>
      <c r="AI475" s="35"/>
    </row>
    <row r="476" spans="1:35" x14ac:dyDescent="0.25">
      <c r="A476" s="48">
        <v>140</v>
      </c>
      <c r="B476" s="176" t="s">
        <v>891</v>
      </c>
      <c r="C476" s="176" t="s">
        <v>890</v>
      </c>
      <c r="D476" s="150">
        <f t="shared" si="21"/>
        <v>8000</v>
      </c>
      <c r="E476" s="35"/>
      <c r="F476" s="35"/>
      <c r="G476" s="35"/>
      <c r="H476" s="35"/>
      <c r="I476" s="35"/>
      <c r="J476" s="35"/>
      <c r="K476" s="35"/>
      <c r="L476" s="35"/>
      <c r="M476" s="35"/>
      <c r="N476" s="48"/>
      <c r="O476" s="35"/>
      <c r="P476" s="35"/>
      <c r="Q476" s="48"/>
      <c r="R476" s="35"/>
      <c r="S476" s="35"/>
      <c r="T476" s="40"/>
      <c r="U476" s="35">
        <v>5000</v>
      </c>
      <c r="V476" s="35"/>
      <c r="W476" s="35"/>
      <c r="X476" s="35"/>
      <c r="Y476" s="35"/>
      <c r="Z476" s="35">
        <v>3000</v>
      </c>
      <c r="AA476" s="48"/>
      <c r="AB476" s="35"/>
      <c r="AC476" s="35"/>
      <c r="AD476" s="35"/>
      <c r="AE476" s="35"/>
      <c r="AF476" s="35"/>
      <c r="AG476" s="48"/>
      <c r="AH476" s="35"/>
      <c r="AI476" s="35"/>
    </row>
    <row r="477" spans="1:35" x14ac:dyDescent="0.25">
      <c r="A477" s="48">
        <v>141</v>
      </c>
      <c r="B477" s="166" t="s">
        <v>529</v>
      </c>
      <c r="C477" s="166" t="s">
        <v>528</v>
      </c>
      <c r="D477" s="150">
        <f t="shared" si="21"/>
        <v>0</v>
      </c>
      <c r="E477" s="35"/>
      <c r="F477" s="35"/>
      <c r="G477" s="35"/>
      <c r="H477" s="35"/>
      <c r="I477" s="35"/>
      <c r="J477" s="35"/>
      <c r="K477" s="35"/>
      <c r="L477" s="35"/>
      <c r="M477" s="35"/>
      <c r="N477" s="48"/>
      <c r="O477" s="35"/>
      <c r="P477" s="35"/>
      <c r="Q477" s="48"/>
      <c r="R477" s="35"/>
      <c r="S477" s="35"/>
      <c r="T477" s="40"/>
      <c r="U477" s="35"/>
      <c r="V477" s="35"/>
      <c r="W477" s="35"/>
      <c r="X477" s="35"/>
      <c r="Y477" s="35"/>
      <c r="Z477" s="35"/>
      <c r="AA477" s="48"/>
      <c r="AB477" s="35"/>
      <c r="AC477" s="35"/>
      <c r="AD477" s="35"/>
      <c r="AE477" s="35"/>
      <c r="AF477" s="35"/>
      <c r="AG477" s="48"/>
      <c r="AH477" s="35"/>
      <c r="AI477" s="35"/>
    </row>
    <row r="478" spans="1:35" x14ac:dyDescent="0.25">
      <c r="A478" s="48">
        <v>142</v>
      </c>
      <c r="B478" s="166" t="s">
        <v>368</v>
      </c>
      <c r="C478" s="166" t="s">
        <v>367</v>
      </c>
      <c r="D478" s="150">
        <f t="shared" si="21"/>
        <v>8000</v>
      </c>
      <c r="E478" s="35"/>
      <c r="F478" s="35"/>
      <c r="G478" s="35"/>
      <c r="H478" s="35"/>
      <c r="I478" s="35"/>
      <c r="J478" s="35"/>
      <c r="K478" s="35"/>
      <c r="L478" s="35"/>
      <c r="M478" s="35"/>
      <c r="N478" s="48"/>
      <c r="O478" s="35"/>
      <c r="P478" s="35">
        <v>3000</v>
      </c>
      <c r="Q478" s="48"/>
      <c r="R478" s="35"/>
      <c r="S478" s="35"/>
      <c r="T478" s="40"/>
      <c r="U478" s="35"/>
      <c r="V478" s="35"/>
      <c r="W478" s="35"/>
      <c r="X478" s="35"/>
      <c r="Y478" s="35"/>
      <c r="Z478" s="35">
        <v>5000</v>
      </c>
      <c r="AA478" s="48"/>
      <c r="AB478" s="35"/>
      <c r="AC478" s="35"/>
      <c r="AD478" s="35"/>
      <c r="AE478" s="35"/>
      <c r="AF478" s="35"/>
      <c r="AG478" s="48"/>
      <c r="AH478" s="35"/>
      <c r="AI478" s="35"/>
    </row>
    <row r="479" spans="1:35" x14ac:dyDescent="0.25">
      <c r="A479" s="48">
        <v>143</v>
      </c>
      <c r="B479" s="176" t="s">
        <v>1118</v>
      </c>
      <c r="C479" s="176" t="s">
        <v>1117</v>
      </c>
      <c r="D479" s="150">
        <f t="shared" si="21"/>
        <v>2000</v>
      </c>
      <c r="E479" s="35"/>
      <c r="F479" s="35"/>
      <c r="G479" s="35"/>
      <c r="H479" s="35"/>
      <c r="I479" s="35"/>
      <c r="J479" s="35"/>
      <c r="K479" s="35"/>
      <c r="L479" s="35"/>
      <c r="M479" s="35"/>
      <c r="N479" s="137"/>
      <c r="O479" s="35"/>
      <c r="P479" s="35"/>
      <c r="Q479" s="48"/>
      <c r="R479" s="35"/>
      <c r="S479" s="35"/>
      <c r="T479" s="40"/>
      <c r="U479" s="35"/>
      <c r="V479" s="35"/>
      <c r="W479" s="35"/>
      <c r="X479" s="35"/>
      <c r="Y479" s="35">
        <v>2000</v>
      </c>
      <c r="Z479" s="35"/>
      <c r="AA479" s="48"/>
      <c r="AB479" s="35"/>
      <c r="AC479" s="35"/>
      <c r="AD479" s="35"/>
      <c r="AE479" s="35"/>
      <c r="AF479" s="35"/>
      <c r="AG479" s="48"/>
      <c r="AH479" s="35"/>
      <c r="AI479" s="35"/>
    </row>
    <row r="480" spans="1:35" x14ac:dyDescent="0.25">
      <c r="A480" s="48">
        <v>144</v>
      </c>
      <c r="B480" s="176" t="s">
        <v>1120</v>
      </c>
      <c r="C480" s="176" t="s">
        <v>1119</v>
      </c>
      <c r="D480" s="150">
        <f t="shared" si="21"/>
        <v>47200</v>
      </c>
      <c r="E480" s="35"/>
      <c r="F480" s="35"/>
      <c r="G480" s="35"/>
      <c r="H480" s="35"/>
      <c r="I480" s="35"/>
      <c r="J480" s="35"/>
      <c r="K480" s="35"/>
      <c r="L480" s="35"/>
      <c r="M480" s="35"/>
      <c r="N480" s="48"/>
      <c r="O480" s="35"/>
      <c r="P480" s="35"/>
      <c r="Q480" s="48"/>
      <c r="R480" s="35"/>
      <c r="S480" s="35"/>
      <c r="T480" s="40"/>
      <c r="U480" s="35"/>
      <c r="V480" s="35"/>
      <c r="W480" s="35"/>
      <c r="X480" s="35"/>
      <c r="Y480" s="35">
        <v>30000</v>
      </c>
      <c r="Z480" s="35">
        <v>15000</v>
      </c>
      <c r="AA480" s="48"/>
      <c r="AB480" s="35"/>
      <c r="AC480" s="35"/>
      <c r="AD480" s="35">
        <v>2200</v>
      </c>
      <c r="AE480" s="35"/>
      <c r="AF480" s="35"/>
      <c r="AG480" s="48"/>
      <c r="AH480" s="35"/>
      <c r="AI480" s="35"/>
    </row>
    <row r="481" spans="1:35" x14ac:dyDescent="0.25">
      <c r="A481" s="48">
        <v>145</v>
      </c>
      <c r="B481" s="176" t="s">
        <v>968</v>
      </c>
      <c r="C481" s="176" t="s">
        <v>967</v>
      </c>
      <c r="D481" s="150">
        <f t="shared" si="21"/>
        <v>30000</v>
      </c>
      <c r="E481" s="35">
        <v>30000</v>
      </c>
      <c r="F481" s="35"/>
      <c r="G481" s="35"/>
      <c r="H481" s="35"/>
      <c r="I481" s="35"/>
      <c r="J481" s="35"/>
      <c r="K481" s="35"/>
      <c r="L481" s="35"/>
      <c r="M481" s="35"/>
      <c r="N481" s="48"/>
      <c r="O481" s="35"/>
      <c r="P481" s="35"/>
      <c r="Q481" s="48"/>
      <c r="R481" s="35"/>
      <c r="S481" s="35"/>
      <c r="T481" s="40"/>
      <c r="U481" s="35"/>
      <c r="V481" s="35"/>
      <c r="W481" s="35"/>
      <c r="X481" s="35"/>
      <c r="Y481" s="35"/>
      <c r="Z481" s="35"/>
      <c r="AA481" s="48"/>
      <c r="AB481" s="35"/>
      <c r="AC481" s="35"/>
      <c r="AD481" s="35"/>
      <c r="AE481" s="35"/>
      <c r="AF481" s="35"/>
      <c r="AG481" s="48"/>
      <c r="AH481" s="35"/>
      <c r="AI481" s="35"/>
    </row>
    <row r="482" spans="1:35" x14ac:dyDescent="0.25">
      <c r="A482" s="48">
        <v>146</v>
      </c>
      <c r="B482" s="166" t="s">
        <v>369</v>
      </c>
      <c r="C482" s="166" t="s">
        <v>370</v>
      </c>
      <c r="D482" s="150">
        <f t="shared" si="21"/>
        <v>13800</v>
      </c>
      <c r="E482" s="35"/>
      <c r="F482" s="35"/>
      <c r="G482" s="35">
        <v>10000</v>
      </c>
      <c r="H482" s="35"/>
      <c r="I482" s="35"/>
      <c r="J482" s="35"/>
      <c r="K482" s="35"/>
      <c r="L482" s="35"/>
      <c r="M482" s="35"/>
      <c r="N482" s="48"/>
      <c r="O482" s="35"/>
      <c r="P482" s="35"/>
      <c r="Q482" s="48"/>
      <c r="R482" s="35"/>
      <c r="S482" s="35"/>
      <c r="T482" s="40"/>
      <c r="U482" s="35"/>
      <c r="V482" s="35"/>
      <c r="W482" s="35"/>
      <c r="X482" s="35"/>
      <c r="Y482" s="35"/>
      <c r="Z482" s="35"/>
      <c r="AA482" s="48"/>
      <c r="AB482" s="35">
        <v>3800</v>
      </c>
      <c r="AC482" s="35"/>
      <c r="AD482" s="35"/>
      <c r="AE482" s="35"/>
      <c r="AF482" s="35"/>
      <c r="AG482" s="48"/>
      <c r="AH482" s="35"/>
      <c r="AI482" s="35"/>
    </row>
    <row r="483" spans="1:35" x14ac:dyDescent="0.25">
      <c r="A483" s="48">
        <v>147</v>
      </c>
      <c r="B483" s="176" t="s">
        <v>1093</v>
      </c>
      <c r="C483" s="176" t="s">
        <v>1091</v>
      </c>
      <c r="D483" s="150">
        <f t="shared" si="21"/>
        <v>500</v>
      </c>
      <c r="E483" s="35"/>
      <c r="F483" s="35"/>
      <c r="G483" s="35"/>
      <c r="H483" s="35"/>
      <c r="I483" s="35"/>
      <c r="J483" s="35"/>
      <c r="K483" s="35"/>
      <c r="L483" s="35"/>
      <c r="M483" s="35"/>
      <c r="N483" s="48"/>
      <c r="O483" s="35"/>
      <c r="P483" s="35"/>
      <c r="Q483" s="48"/>
      <c r="R483" s="35"/>
      <c r="S483" s="35"/>
      <c r="T483" s="40"/>
      <c r="U483" s="35"/>
      <c r="V483" s="35"/>
      <c r="W483" s="35">
        <v>500</v>
      </c>
      <c r="X483" s="35"/>
      <c r="Y483" s="35"/>
      <c r="Z483" s="35"/>
      <c r="AA483" s="48"/>
      <c r="AB483" s="35"/>
      <c r="AC483" s="35"/>
      <c r="AD483" s="35"/>
      <c r="AE483" s="35"/>
      <c r="AF483" s="35"/>
      <c r="AG483" s="48"/>
      <c r="AH483" s="35"/>
      <c r="AI483" s="35"/>
    </row>
    <row r="484" spans="1:35" x14ac:dyDescent="0.25">
      <c r="A484" s="48">
        <v>148</v>
      </c>
      <c r="B484" s="176" t="s">
        <v>1094</v>
      </c>
      <c r="C484" s="176" t="s">
        <v>1092</v>
      </c>
      <c r="D484" s="150">
        <f t="shared" si="21"/>
        <v>1310</v>
      </c>
      <c r="E484" s="35"/>
      <c r="F484" s="35"/>
      <c r="G484" s="35"/>
      <c r="H484" s="35"/>
      <c r="I484" s="35"/>
      <c r="J484" s="35"/>
      <c r="K484" s="35"/>
      <c r="L484" s="35"/>
      <c r="M484" s="35"/>
      <c r="N484" s="48"/>
      <c r="O484" s="35"/>
      <c r="P484" s="35"/>
      <c r="Q484" s="48"/>
      <c r="R484" s="35"/>
      <c r="S484" s="35"/>
      <c r="T484" s="40"/>
      <c r="U484" s="35"/>
      <c r="V484" s="35"/>
      <c r="W484" s="35">
        <v>1310</v>
      </c>
      <c r="X484" s="35"/>
      <c r="Y484" s="35"/>
      <c r="Z484" s="35"/>
      <c r="AA484" s="48"/>
      <c r="AB484" s="35"/>
      <c r="AC484" s="35"/>
      <c r="AD484" s="35"/>
      <c r="AE484" s="35"/>
      <c r="AF484" s="35"/>
      <c r="AG484" s="48"/>
      <c r="AH484" s="35"/>
      <c r="AI484" s="35"/>
    </row>
    <row r="485" spans="1:35" x14ac:dyDescent="0.25">
      <c r="A485" s="48">
        <v>149</v>
      </c>
      <c r="B485" s="166" t="s">
        <v>437</v>
      </c>
      <c r="C485" s="166" t="s">
        <v>436</v>
      </c>
      <c r="D485" s="150">
        <f t="shared" si="21"/>
        <v>0</v>
      </c>
      <c r="E485" s="35"/>
      <c r="F485" s="35"/>
      <c r="G485" s="35"/>
      <c r="H485" s="35"/>
      <c r="I485" s="35"/>
      <c r="J485" s="35"/>
      <c r="K485" s="35"/>
      <c r="L485" s="35"/>
      <c r="M485" s="35"/>
      <c r="N485" s="48"/>
      <c r="O485" s="35"/>
      <c r="P485" s="35"/>
      <c r="Q485" s="48"/>
      <c r="R485" s="35"/>
      <c r="S485" s="35"/>
      <c r="T485" s="40"/>
      <c r="U485" s="35"/>
      <c r="V485" s="35"/>
      <c r="W485" s="35"/>
      <c r="X485" s="35"/>
      <c r="Y485" s="35"/>
      <c r="Z485" s="35"/>
      <c r="AA485" s="48"/>
      <c r="AB485" s="35"/>
      <c r="AC485" s="35"/>
      <c r="AD485" s="35"/>
      <c r="AE485" s="35"/>
      <c r="AF485" s="35"/>
      <c r="AG485" s="48"/>
      <c r="AH485" s="35"/>
      <c r="AI485" s="35"/>
    </row>
    <row r="486" spans="1:35" x14ac:dyDescent="0.25">
      <c r="A486" s="48">
        <v>150</v>
      </c>
      <c r="B486" s="166" t="s">
        <v>440</v>
      </c>
      <c r="C486" s="166" t="s">
        <v>438</v>
      </c>
      <c r="D486" s="150">
        <f t="shared" si="21"/>
        <v>5500</v>
      </c>
      <c r="E486" s="35"/>
      <c r="F486" s="35"/>
      <c r="G486" s="35"/>
      <c r="H486" s="35">
        <v>1000</v>
      </c>
      <c r="I486" s="35"/>
      <c r="J486" s="35"/>
      <c r="K486" s="35"/>
      <c r="L486" s="35"/>
      <c r="M486" s="35"/>
      <c r="N486" s="48">
        <v>500</v>
      </c>
      <c r="O486" s="35"/>
      <c r="P486" s="35"/>
      <c r="Q486" s="48"/>
      <c r="R486" s="35"/>
      <c r="S486" s="35"/>
      <c r="T486" s="40"/>
      <c r="U486" s="35">
        <v>4000</v>
      </c>
      <c r="V486" s="35"/>
      <c r="W486" s="35"/>
      <c r="X486" s="35"/>
      <c r="Y486" s="35"/>
      <c r="Z486" s="35"/>
      <c r="AA486" s="48"/>
      <c r="AB486" s="35"/>
      <c r="AC486" s="35"/>
      <c r="AD486" s="35"/>
      <c r="AE486" s="35"/>
      <c r="AF486" s="35"/>
      <c r="AG486" s="48"/>
      <c r="AH486" s="35"/>
      <c r="AI486" s="35"/>
    </row>
    <row r="487" spans="1:35" x14ac:dyDescent="0.25">
      <c r="A487" s="48">
        <v>151</v>
      </c>
      <c r="B487" s="166" t="s">
        <v>441</v>
      </c>
      <c r="C487" s="166" t="s">
        <v>439</v>
      </c>
      <c r="D487" s="150">
        <f t="shared" si="21"/>
        <v>68000</v>
      </c>
      <c r="E487" s="35"/>
      <c r="F487" s="35"/>
      <c r="G487" s="35"/>
      <c r="H487" s="35">
        <v>11000</v>
      </c>
      <c r="I487" s="35"/>
      <c r="J487" s="35"/>
      <c r="K487" s="35"/>
      <c r="L487" s="35"/>
      <c r="M487" s="35"/>
      <c r="N487" s="48">
        <v>6000</v>
      </c>
      <c r="O487" s="35"/>
      <c r="P487" s="35"/>
      <c r="Q487" s="48"/>
      <c r="R487" s="35"/>
      <c r="S487" s="35"/>
      <c r="T487" s="40"/>
      <c r="U487" s="35">
        <v>20000</v>
      </c>
      <c r="V487" s="35">
        <v>20000</v>
      </c>
      <c r="W487" s="35">
        <v>11000</v>
      </c>
      <c r="X487" s="35"/>
      <c r="Y487" s="35"/>
      <c r="Z487" s="35"/>
      <c r="AA487" s="48"/>
      <c r="AB487" s="35"/>
      <c r="AC487" s="35"/>
      <c r="AD487" s="35"/>
      <c r="AE487" s="35"/>
      <c r="AF487" s="35"/>
      <c r="AG487" s="48"/>
      <c r="AH487" s="35"/>
      <c r="AI487" s="35"/>
    </row>
    <row r="488" spans="1:35" x14ac:dyDescent="0.25">
      <c r="A488" s="48">
        <v>152</v>
      </c>
      <c r="B488" s="176" t="s">
        <v>989</v>
      </c>
      <c r="C488" s="176" t="s">
        <v>987</v>
      </c>
      <c r="D488" s="150">
        <f t="shared" si="21"/>
        <v>500</v>
      </c>
      <c r="E488" s="35"/>
      <c r="F488" s="35"/>
      <c r="G488" s="35"/>
      <c r="H488" s="35"/>
      <c r="I488" s="35">
        <v>500</v>
      </c>
      <c r="J488" s="35"/>
      <c r="K488" s="35"/>
      <c r="L488" s="35"/>
      <c r="M488" s="35"/>
      <c r="N488" s="48"/>
      <c r="O488" s="35"/>
      <c r="P488" s="35"/>
      <c r="Q488" s="48"/>
      <c r="R488" s="35"/>
      <c r="S488" s="35"/>
      <c r="T488" s="40"/>
      <c r="U488" s="35"/>
      <c r="V488" s="35"/>
      <c r="W488" s="35"/>
      <c r="X488" s="35"/>
      <c r="Y488" s="35"/>
      <c r="Z488" s="35"/>
      <c r="AA488" s="48"/>
      <c r="AB488" s="35"/>
      <c r="AC488" s="35"/>
      <c r="AD488" s="35"/>
      <c r="AE488" s="35"/>
      <c r="AF488" s="35"/>
      <c r="AG488" s="48"/>
      <c r="AH488" s="35"/>
      <c r="AI488" s="35"/>
    </row>
    <row r="489" spans="1:35" x14ac:dyDescent="0.25">
      <c r="A489" s="48">
        <v>153</v>
      </c>
      <c r="B489" s="176" t="s">
        <v>990</v>
      </c>
      <c r="C489" s="176" t="s">
        <v>988</v>
      </c>
      <c r="D489" s="150">
        <f t="shared" si="21"/>
        <v>500</v>
      </c>
      <c r="E489" s="35"/>
      <c r="F489" s="35"/>
      <c r="G489" s="35"/>
      <c r="H489" s="35"/>
      <c r="I489" s="35">
        <v>500</v>
      </c>
      <c r="J489" s="35"/>
      <c r="K489" s="35"/>
      <c r="L489" s="35"/>
      <c r="M489" s="35"/>
      <c r="N489" s="48"/>
      <c r="O489" s="35"/>
      <c r="P489" s="35"/>
      <c r="Q489" s="48"/>
      <c r="R489" s="35"/>
      <c r="S489" s="35"/>
      <c r="T489" s="40"/>
      <c r="U489" s="35"/>
      <c r="V489" s="35"/>
      <c r="W489" s="35"/>
      <c r="X489" s="35"/>
      <c r="Y489" s="35"/>
      <c r="Z489" s="35"/>
      <c r="AA489" s="48"/>
      <c r="AB489" s="35"/>
      <c r="AC489" s="35"/>
      <c r="AD489" s="35"/>
      <c r="AE489" s="35"/>
      <c r="AF489" s="35"/>
      <c r="AG489" s="48"/>
      <c r="AH489" s="35"/>
      <c r="AI489" s="35"/>
    </row>
    <row r="490" spans="1:35" x14ac:dyDescent="0.25">
      <c r="A490" s="48">
        <v>154</v>
      </c>
      <c r="B490" s="176" t="s">
        <v>992</v>
      </c>
      <c r="C490" s="176" t="s">
        <v>991</v>
      </c>
      <c r="D490" s="150">
        <f t="shared" si="21"/>
        <v>24100</v>
      </c>
      <c r="E490" s="35"/>
      <c r="F490" s="35"/>
      <c r="G490" s="35"/>
      <c r="H490" s="35"/>
      <c r="I490" s="35">
        <v>17240</v>
      </c>
      <c r="J490" s="35"/>
      <c r="K490" s="35"/>
      <c r="L490" s="35"/>
      <c r="M490" s="35"/>
      <c r="N490" s="48">
        <v>500</v>
      </c>
      <c r="O490" s="35"/>
      <c r="P490" s="35"/>
      <c r="Q490" s="48"/>
      <c r="R490" s="35"/>
      <c r="S490" s="35"/>
      <c r="T490" s="40"/>
      <c r="U490" s="35"/>
      <c r="V490" s="35"/>
      <c r="W490" s="35"/>
      <c r="X490" s="35"/>
      <c r="Y490" s="35">
        <v>6360</v>
      </c>
      <c r="Z490" s="35"/>
      <c r="AA490" s="48"/>
      <c r="AB490" s="35"/>
      <c r="AC490" s="35"/>
      <c r="AD490" s="35"/>
      <c r="AE490" s="35"/>
      <c r="AF490" s="35"/>
      <c r="AG490" s="48"/>
      <c r="AH490" s="35"/>
      <c r="AI490" s="35"/>
    </row>
    <row r="491" spans="1:35" x14ac:dyDescent="0.25">
      <c r="A491" s="48">
        <v>155</v>
      </c>
      <c r="B491" s="176" t="s">
        <v>1000</v>
      </c>
      <c r="C491" s="176" t="s">
        <v>999</v>
      </c>
      <c r="D491" s="150">
        <f t="shared" si="21"/>
        <v>5000</v>
      </c>
      <c r="E491" s="35"/>
      <c r="F491" s="35"/>
      <c r="G491" s="35"/>
      <c r="H491" s="35"/>
      <c r="I491" s="35"/>
      <c r="J491" s="35"/>
      <c r="K491" s="35">
        <v>5000</v>
      </c>
      <c r="L491" s="35"/>
      <c r="M491" s="35"/>
      <c r="N491" s="48"/>
      <c r="O491" s="35"/>
      <c r="P491" s="35"/>
      <c r="Q491" s="48"/>
      <c r="R491" s="35"/>
      <c r="S491" s="35"/>
      <c r="T491" s="40"/>
      <c r="U491" s="35"/>
      <c r="V491" s="35"/>
      <c r="W491" s="35"/>
      <c r="X491" s="35"/>
      <c r="Y491" s="35"/>
      <c r="Z491" s="35"/>
      <c r="AA491" s="48"/>
      <c r="AB491" s="35"/>
      <c r="AC491" s="35"/>
      <c r="AD491" s="35"/>
      <c r="AE491" s="35"/>
      <c r="AF491" s="35"/>
      <c r="AG491" s="48"/>
      <c r="AH491" s="35"/>
      <c r="AI491" s="35"/>
    </row>
    <row r="492" spans="1:35" x14ac:dyDescent="0.25">
      <c r="A492" s="48">
        <v>156</v>
      </c>
      <c r="B492" s="176" t="s">
        <v>1002</v>
      </c>
      <c r="C492" s="176" t="s">
        <v>1001</v>
      </c>
      <c r="D492" s="150">
        <f t="shared" si="21"/>
        <v>1200</v>
      </c>
      <c r="E492" s="35"/>
      <c r="F492" s="35"/>
      <c r="G492" s="35"/>
      <c r="H492" s="35"/>
      <c r="I492" s="35"/>
      <c r="J492" s="35"/>
      <c r="K492" s="35">
        <v>1200</v>
      </c>
      <c r="L492" s="35"/>
      <c r="M492" s="35"/>
      <c r="N492" s="137"/>
      <c r="O492" s="35"/>
      <c r="P492" s="35"/>
      <c r="Q492" s="48"/>
      <c r="R492" s="35"/>
      <c r="S492" s="35"/>
      <c r="T492" s="40"/>
      <c r="U492" s="35"/>
      <c r="V492" s="35"/>
      <c r="W492" s="35"/>
      <c r="X492" s="35"/>
      <c r="Y492" s="35"/>
      <c r="Z492" s="35"/>
      <c r="AA492" s="48"/>
      <c r="AB492" s="35"/>
      <c r="AC492" s="35"/>
      <c r="AD492" s="35"/>
      <c r="AE492" s="35"/>
      <c r="AF492" s="35"/>
      <c r="AG492" s="48"/>
      <c r="AH492" s="35"/>
      <c r="AI492" s="35"/>
    </row>
    <row r="493" spans="1:35" x14ac:dyDescent="0.25">
      <c r="A493" s="48">
        <v>157</v>
      </c>
      <c r="B493" s="176" t="s">
        <v>1004</v>
      </c>
      <c r="C493" s="176" t="s">
        <v>1003</v>
      </c>
      <c r="D493" s="150">
        <f t="shared" si="21"/>
        <v>500000</v>
      </c>
      <c r="E493" s="35"/>
      <c r="F493" s="35"/>
      <c r="G493" s="35"/>
      <c r="H493" s="35"/>
      <c r="I493" s="35"/>
      <c r="J493" s="35"/>
      <c r="K493" s="35">
        <v>40000</v>
      </c>
      <c r="L493" s="35"/>
      <c r="M493" s="35"/>
      <c r="N493" s="137"/>
      <c r="O493" s="35"/>
      <c r="P493" s="35"/>
      <c r="Q493" s="48"/>
      <c r="R493" s="35"/>
      <c r="S493" s="35"/>
      <c r="T493" s="40"/>
      <c r="U493" s="35"/>
      <c r="V493" s="35"/>
      <c r="W493" s="35"/>
      <c r="X493" s="35">
        <v>50000</v>
      </c>
      <c r="Y493" s="35">
        <v>100000</v>
      </c>
      <c r="Z493" s="35">
        <v>50000</v>
      </c>
      <c r="AA493" s="48">
        <v>50000</v>
      </c>
      <c r="AB493" s="35">
        <v>110000</v>
      </c>
      <c r="AC493" s="35"/>
      <c r="AD493" s="35"/>
      <c r="AE493" s="35">
        <v>50000</v>
      </c>
      <c r="AF493" s="35">
        <v>50000</v>
      </c>
      <c r="AG493" s="48"/>
      <c r="AH493" s="35"/>
      <c r="AI493" s="35"/>
    </row>
    <row r="494" spans="1:35" x14ac:dyDescent="0.25">
      <c r="A494" s="48">
        <v>158</v>
      </c>
      <c r="B494" s="166" t="s">
        <v>162</v>
      </c>
      <c r="C494" s="166" t="s">
        <v>118</v>
      </c>
      <c r="D494" s="150">
        <f t="shared" si="21"/>
        <v>0</v>
      </c>
      <c r="E494" s="35"/>
      <c r="F494" s="35"/>
      <c r="G494" s="35"/>
      <c r="H494" s="35"/>
      <c r="I494" s="35"/>
      <c r="J494" s="35"/>
      <c r="K494" s="35"/>
      <c r="L494" s="35"/>
      <c r="M494" s="35"/>
      <c r="N494" s="48"/>
      <c r="O494" s="35"/>
      <c r="P494" s="35"/>
      <c r="Q494" s="48"/>
      <c r="R494" s="35"/>
      <c r="S494" s="35"/>
      <c r="T494" s="40"/>
      <c r="U494" s="35"/>
      <c r="V494" s="35"/>
      <c r="W494" s="35"/>
      <c r="X494" s="35"/>
      <c r="Y494" s="35"/>
      <c r="Z494" s="35"/>
      <c r="AA494" s="48"/>
      <c r="AB494" s="35"/>
      <c r="AC494" s="35"/>
      <c r="AD494" s="35"/>
      <c r="AE494" s="35"/>
      <c r="AF494" s="35"/>
      <c r="AG494" s="48"/>
      <c r="AH494" s="35"/>
      <c r="AI494" s="35"/>
    </row>
    <row r="495" spans="1:35" x14ac:dyDescent="0.25">
      <c r="A495" s="141" t="s">
        <v>140</v>
      </c>
      <c r="B495" s="33" t="s">
        <v>125</v>
      </c>
      <c r="C495" s="141" t="s">
        <v>141</v>
      </c>
      <c r="D495" s="149">
        <f t="shared" ref="D495:AI495" si="22">SUM(D496:D535)</f>
        <v>463717</v>
      </c>
      <c r="E495" s="149">
        <f t="shared" si="22"/>
        <v>0</v>
      </c>
      <c r="F495" s="149">
        <f t="shared" si="22"/>
        <v>0</v>
      </c>
      <c r="G495" s="149">
        <f t="shared" si="22"/>
        <v>45100</v>
      </c>
      <c r="H495" s="149">
        <f t="shared" si="22"/>
        <v>34700</v>
      </c>
      <c r="I495" s="149">
        <f t="shared" si="22"/>
        <v>2500</v>
      </c>
      <c r="J495" s="149">
        <f t="shared" si="22"/>
        <v>7500</v>
      </c>
      <c r="K495" s="149">
        <f t="shared" si="22"/>
        <v>20000</v>
      </c>
      <c r="L495" s="149">
        <f t="shared" si="22"/>
        <v>52000</v>
      </c>
      <c r="M495" s="149">
        <f t="shared" si="22"/>
        <v>50000</v>
      </c>
      <c r="N495" s="149">
        <f t="shared" si="22"/>
        <v>63800</v>
      </c>
      <c r="O495" s="149">
        <f t="shared" si="22"/>
        <v>30544</v>
      </c>
      <c r="P495" s="149">
        <f t="shared" si="22"/>
        <v>9000</v>
      </c>
      <c r="Q495" s="149">
        <f t="shared" si="22"/>
        <v>0</v>
      </c>
      <c r="R495" s="149">
        <f t="shared" si="22"/>
        <v>0</v>
      </c>
      <c r="S495" s="149">
        <f t="shared" si="22"/>
        <v>0</v>
      </c>
      <c r="T495" s="149">
        <f t="shared" si="22"/>
        <v>0</v>
      </c>
      <c r="U495" s="149">
        <f t="shared" si="22"/>
        <v>0</v>
      </c>
      <c r="V495" s="149">
        <f t="shared" si="22"/>
        <v>5200</v>
      </c>
      <c r="W495" s="149">
        <f t="shared" si="22"/>
        <v>17350</v>
      </c>
      <c r="X495" s="149">
        <f t="shared" si="22"/>
        <v>0</v>
      </c>
      <c r="Y495" s="149">
        <f t="shared" si="22"/>
        <v>500</v>
      </c>
      <c r="Z495" s="149">
        <f t="shared" si="22"/>
        <v>35573</v>
      </c>
      <c r="AA495" s="149">
        <f t="shared" si="22"/>
        <v>30000</v>
      </c>
      <c r="AB495" s="149">
        <f t="shared" si="22"/>
        <v>16920</v>
      </c>
      <c r="AC495" s="149">
        <f t="shared" si="22"/>
        <v>21030</v>
      </c>
      <c r="AD495" s="149">
        <f t="shared" si="22"/>
        <v>0</v>
      </c>
      <c r="AE495" s="149">
        <f t="shared" si="22"/>
        <v>0</v>
      </c>
      <c r="AF495" s="149">
        <f t="shared" si="22"/>
        <v>0</v>
      </c>
      <c r="AG495" s="149">
        <f t="shared" si="22"/>
        <v>0</v>
      </c>
      <c r="AH495" s="149">
        <f t="shared" si="22"/>
        <v>22000</v>
      </c>
      <c r="AI495" s="149">
        <f t="shared" si="22"/>
        <v>0</v>
      </c>
    </row>
    <row r="496" spans="1:35" x14ac:dyDescent="0.25">
      <c r="A496" s="48">
        <v>1</v>
      </c>
      <c r="B496" s="166" t="s">
        <v>762</v>
      </c>
      <c r="C496" s="166" t="s">
        <v>761</v>
      </c>
      <c r="D496" s="150">
        <f t="shared" ref="D496:D535" si="23">SUM(E496:AI496)</f>
        <v>2700</v>
      </c>
      <c r="E496" s="35"/>
      <c r="F496" s="35"/>
      <c r="G496" s="35"/>
      <c r="H496" s="35">
        <v>2700</v>
      </c>
      <c r="I496" s="35"/>
      <c r="J496" s="35"/>
      <c r="K496" s="35"/>
      <c r="L496" s="35"/>
      <c r="M496" s="35"/>
      <c r="N496" s="48"/>
      <c r="O496" s="35"/>
      <c r="P496" s="35"/>
      <c r="Q496" s="48"/>
      <c r="R496" s="35"/>
      <c r="S496" s="35"/>
      <c r="T496" s="40"/>
      <c r="U496" s="35"/>
      <c r="V496" s="35"/>
      <c r="W496" s="35"/>
      <c r="X496" s="35"/>
      <c r="Y496" s="35"/>
      <c r="Z496" s="35"/>
      <c r="AA496" s="48"/>
      <c r="AB496" s="35"/>
      <c r="AC496" s="35"/>
      <c r="AD496" s="35"/>
      <c r="AE496" s="35"/>
      <c r="AF496" s="35"/>
      <c r="AG496" s="48"/>
      <c r="AH496" s="35"/>
      <c r="AI496" s="35"/>
    </row>
    <row r="497" spans="1:35" x14ac:dyDescent="0.25">
      <c r="A497" s="48">
        <v>2</v>
      </c>
      <c r="B497" s="166" t="s">
        <v>163</v>
      </c>
      <c r="C497" s="166" t="s">
        <v>95</v>
      </c>
      <c r="D497" s="150">
        <f t="shared" si="23"/>
        <v>0</v>
      </c>
      <c r="E497" s="35"/>
      <c r="F497" s="35"/>
      <c r="G497" s="35"/>
      <c r="H497" s="35"/>
      <c r="I497" s="35"/>
      <c r="J497" s="35"/>
      <c r="K497" s="35"/>
      <c r="L497" s="35"/>
      <c r="M497" s="35"/>
      <c r="N497" s="48"/>
      <c r="O497" s="35"/>
      <c r="P497" s="35"/>
      <c r="Q497" s="48"/>
      <c r="R497" s="35"/>
      <c r="S497" s="35"/>
      <c r="T497" s="40"/>
      <c r="U497" s="35"/>
      <c r="V497" s="35"/>
      <c r="W497" s="35"/>
      <c r="X497" s="35"/>
      <c r="Y497" s="35"/>
      <c r="Z497" s="35"/>
      <c r="AA497" s="48"/>
      <c r="AB497" s="35"/>
      <c r="AC497" s="35"/>
      <c r="AD497" s="35"/>
      <c r="AE497" s="35"/>
      <c r="AF497" s="35"/>
      <c r="AG497" s="48"/>
      <c r="AH497" s="35"/>
      <c r="AI497" s="35"/>
    </row>
    <row r="498" spans="1:35" x14ac:dyDescent="0.25">
      <c r="A498" s="48">
        <v>3</v>
      </c>
      <c r="B498" s="166" t="s">
        <v>128</v>
      </c>
      <c r="C498" s="166" t="s">
        <v>127</v>
      </c>
      <c r="D498" s="150">
        <f t="shared" si="23"/>
        <v>164000</v>
      </c>
      <c r="E498" s="35"/>
      <c r="F498" s="35"/>
      <c r="G498" s="35">
        <v>42000</v>
      </c>
      <c r="H498" s="35"/>
      <c r="I498" s="35"/>
      <c r="J498" s="35"/>
      <c r="K498" s="35">
        <v>20000</v>
      </c>
      <c r="L498" s="35">
        <v>20000</v>
      </c>
      <c r="M498" s="35"/>
      <c r="N498" s="48">
        <v>50000</v>
      </c>
      <c r="O498" s="35"/>
      <c r="P498" s="35"/>
      <c r="Q498" s="48"/>
      <c r="R498" s="35"/>
      <c r="S498" s="35"/>
      <c r="T498" s="40"/>
      <c r="U498" s="35"/>
      <c r="V498" s="35"/>
      <c r="W498" s="35">
        <v>12000</v>
      </c>
      <c r="X498" s="35"/>
      <c r="Y498" s="35"/>
      <c r="Z498" s="35"/>
      <c r="AA498" s="48"/>
      <c r="AB498" s="35"/>
      <c r="AC498" s="35">
        <v>20000</v>
      </c>
      <c r="AD498" s="35"/>
      <c r="AE498" s="35"/>
      <c r="AF498" s="35"/>
      <c r="AG498" s="48"/>
      <c r="AH498" s="35"/>
      <c r="AI498" s="35"/>
    </row>
    <row r="499" spans="1:35" x14ac:dyDescent="0.25">
      <c r="A499" s="48">
        <v>4</v>
      </c>
      <c r="B499" s="176" t="s">
        <v>1084</v>
      </c>
      <c r="C499" s="176" t="s">
        <v>1083</v>
      </c>
      <c r="D499" s="150">
        <f t="shared" si="23"/>
        <v>5000</v>
      </c>
      <c r="E499" s="35"/>
      <c r="F499" s="35"/>
      <c r="G499" s="35"/>
      <c r="H499" s="35"/>
      <c r="I499" s="35"/>
      <c r="J499" s="35"/>
      <c r="K499" s="35"/>
      <c r="L499" s="35"/>
      <c r="M499" s="35"/>
      <c r="N499" s="48"/>
      <c r="O499" s="35"/>
      <c r="P499" s="35"/>
      <c r="Q499" s="48"/>
      <c r="R499" s="35"/>
      <c r="S499" s="35"/>
      <c r="T499" s="40"/>
      <c r="U499" s="35"/>
      <c r="V499" s="35">
        <v>5000</v>
      </c>
      <c r="W499" s="35"/>
      <c r="X499" s="35"/>
      <c r="Y499" s="35"/>
      <c r="Z499" s="35"/>
      <c r="AA499" s="48"/>
      <c r="AB499" s="35"/>
      <c r="AC499" s="35"/>
      <c r="AD499" s="35"/>
      <c r="AE499" s="35"/>
      <c r="AF499" s="35"/>
      <c r="AG499" s="35"/>
      <c r="AH499" s="35"/>
      <c r="AI499" s="35"/>
    </row>
    <row r="500" spans="1:35" x14ac:dyDescent="0.25">
      <c r="A500" s="48">
        <v>5</v>
      </c>
      <c r="B500" s="166" t="s">
        <v>491</v>
      </c>
      <c r="C500" s="166" t="s">
        <v>490</v>
      </c>
      <c r="D500" s="150">
        <f t="shared" si="23"/>
        <v>19104</v>
      </c>
      <c r="E500" s="35"/>
      <c r="F500" s="35"/>
      <c r="G500" s="35"/>
      <c r="H500" s="35"/>
      <c r="I500" s="35"/>
      <c r="J500" s="35"/>
      <c r="K500" s="35"/>
      <c r="L500" s="35"/>
      <c r="M500" s="35"/>
      <c r="N500" s="48"/>
      <c r="O500" s="35">
        <v>19104</v>
      </c>
      <c r="P500" s="35"/>
      <c r="Q500" s="48"/>
      <c r="R500" s="35"/>
      <c r="S500" s="35"/>
      <c r="T500" s="40"/>
      <c r="U500" s="35"/>
      <c r="V500" s="35"/>
      <c r="W500" s="35"/>
      <c r="X500" s="35"/>
      <c r="Y500" s="35"/>
      <c r="Z500" s="35"/>
      <c r="AA500" s="48"/>
      <c r="AB500" s="35"/>
      <c r="AC500" s="35"/>
      <c r="AD500" s="35"/>
      <c r="AE500" s="35"/>
      <c r="AF500" s="35"/>
      <c r="AG500" s="35"/>
      <c r="AH500" s="35"/>
      <c r="AI500" s="35"/>
    </row>
    <row r="501" spans="1:35" x14ac:dyDescent="0.25">
      <c r="A501" s="48">
        <v>6</v>
      </c>
      <c r="B501" s="166" t="s">
        <v>199</v>
      </c>
      <c r="C501" s="166" t="s">
        <v>198</v>
      </c>
      <c r="D501" s="150">
        <f t="shared" si="23"/>
        <v>184500</v>
      </c>
      <c r="E501" s="35"/>
      <c r="F501" s="35"/>
      <c r="G501" s="35"/>
      <c r="H501" s="35">
        <v>30000</v>
      </c>
      <c r="I501" s="35"/>
      <c r="J501" s="35">
        <v>7500</v>
      </c>
      <c r="K501" s="35"/>
      <c r="L501" s="35">
        <v>30000</v>
      </c>
      <c r="M501" s="35">
        <v>50000</v>
      </c>
      <c r="N501" s="48">
        <v>10000</v>
      </c>
      <c r="O501" s="35"/>
      <c r="P501" s="35"/>
      <c r="Q501" s="48"/>
      <c r="R501" s="35"/>
      <c r="S501" s="35"/>
      <c r="T501" s="40"/>
      <c r="U501" s="35"/>
      <c r="V501" s="35"/>
      <c r="W501" s="35"/>
      <c r="X501" s="35"/>
      <c r="Y501" s="35"/>
      <c r="Z501" s="35">
        <v>35000</v>
      </c>
      <c r="AA501" s="48"/>
      <c r="AB501" s="35"/>
      <c r="AC501" s="35"/>
      <c r="AD501" s="35"/>
      <c r="AE501" s="35"/>
      <c r="AF501" s="35"/>
      <c r="AG501" s="35"/>
      <c r="AH501" s="35">
        <v>22000</v>
      </c>
      <c r="AI501" s="35"/>
    </row>
    <row r="502" spans="1:35" x14ac:dyDescent="0.25">
      <c r="A502" s="48">
        <v>7</v>
      </c>
      <c r="B502" s="166" t="s">
        <v>477</v>
      </c>
      <c r="C502" s="166" t="s">
        <v>476</v>
      </c>
      <c r="D502" s="150">
        <f t="shared" si="23"/>
        <v>2000</v>
      </c>
      <c r="E502" s="35"/>
      <c r="F502" s="35"/>
      <c r="G502" s="35"/>
      <c r="H502" s="35"/>
      <c r="I502" s="35"/>
      <c r="J502" s="35"/>
      <c r="K502" s="35"/>
      <c r="L502" s="35">
        <v>2000</v>
      </c>
      <c r="M502" s="35"/>
      <c r="N502" s="48"/>
      <c r="O502" s="35"/>
      <c r="P502" s="35"/>
      <c r="Q502" s="48"/>
      <c r="R502" s="35"/>
      <c r="S502" s="35"/>
      <c r="T502" s="40"/>
      <c r="U502" s="35"/>
      <c r="V502" s="35"/>
      <c r="W502" s="35"/>
      <c r="X502" s="35"/>
      <c r="Y502" s="35"/>
      <c r="Z502" s="35"/>
      <c r="AA502" s="48"/>
      <c r="AB502" s="35"/>
      <c r="AC502" s="35"/>
      <c r="AD502" s="35"/>
      <c r="AE502" s="35"/>
      <c r="AF502" s="35"/>
      <c r="AG502" s="35"/>
      <c r="AH502" s="35"/>
      <c r="AI502" s="35"/>
    </row>
    <row r="503" spans="1:35" x14ac:dyDescent="0.25">
      <c r="A503" s="48">
        <v>8</v>
      </c>
      <c r="B503" s="166" t="s">
        <v>845</v>
      </c>
      <c r="C503" s="166" t="s">
        <v>844</v>
      </c>
      <c r="D503" s="150">
        <f t="shared" si="23"/>
        <v>10900</v>
      </c>
      <c r="E503" s="35"/>
      <c r="F503" s="35"/>
      <c r="G503" s="35"/>
      <c r="H503" s="35"/>
      <c r="I503" s="35"/>
      <c r="J503" s="35"/>
      <c r="K503" s="35"/>
      <c r="L503" s="35"/>
      <c r="M503" s="35"/>
      <c r="N503" s="48"/>
      <c r="O503" s="35">
        <v>10900</v>
      </c>
      <c r="P503" s="35"/>
      <c r="Q503" s="48"/>
      <c r="R503" s="35"/>
      <c r="S503" s="35"/>
      <c r="T503" s="40"/>
      <c r="U503" s="35"/>
      <c r="V503" s="35"/>
      <c r="W503" s="35"/>
      <c r="X503" s="35"/>
      <c r="Y503" s="35"/>
      <c r="Z503" s="35"/>
      <c r="AA503" s="48"/>
      <c r="AB503" s="35"/>
      <c r="AC503" s="35"/>
      <c r="AD503" s="35"/>
      <c r="AE503" s="35"/>
      <c r="AF503" s="35"/>
      <c r="AG503" s="35"/>
      <c r="AH503" s="35"/>
      <c r="AI503" s="35"/>
    </row>
    <row r="504" spans="1:35" x14ac:dyDescent="0.25">
      <c r="A504" s="48">
        <v>9</v>
      </c>
      <c r="B504" s="166" t="s">
        <v>175</v>
      </c>
      <c r="C504" s="166" t="s">
        <v>174</v>
      </c>
      <c r="D504" s="150">
        <f t="shared" si="23"/>
        <v>3800</v>
      </c>
      <c r="E504" s="35"/>
      <c r="F504" s="35"/>
      <c r="G504" s="35"/>
      <c r="H504" s="35"/>
      <c r="I504" s="35"/>
      <c r="J504" s="35"/>
      <c r="K504" s="35"/>
      <c r="L504" s="35"/>
      <c r="M504" s="35"/>
      <c r="N504" s="48">
        <v>3800</v>
      </c>
      <c r="O504" s="35"/>
      <c r="P504" s="35"/>
      <c r="Q504" s="48"/>
      <c r="R504" s="35"/>
      <c r="S504" s="35"/>
      <c r="T504" s="40"/>
      <c r="U504" s="35"/>
      <c r="V504" s="35"/>
      <c r="W504" s="35"/>
      <c r="X504" s="35"/>
      <c r="Y504" s="35"/>
      <c r="Z504" s="35"/>
      <c r="AA504" s="48"/>
      <c r="AB504" s="35"/>
      <c r="AC504" s="35"/>
      <c r="AD504" s="35"/>
      <c r="AE504" s="35"/>
      <c r="AF504" s="35"/>
      <c r="AG504" s="35"/>
      <c r="AH504" s="35"/>
      <c r="AI504" s="35"/>
    </row>
    <row r="505" spans="1:35" x14ac:dyDescent="0.25">
      <c r="A505" s="48">
        <v>10</v>
      </c>
      <c r="B505" s="176" t="s">
        <v>852</v>
      </c>
      <c r="C505" s="176" t="s">
        <v>850</v>
      </c>
      <c r="D505" s="150">
        <f t="shared" si="23"/>
        <v>0</v>
      </c>
      <c r="E505" s="35"/>
      <c r="F505" s="35"/>
      <c r="G505" s="35"/>
      <c r="H505" s="35"/>
      <c r="I505" s="35"/>
      <c r="J505" s="35"/>
      <c r="K505" s="35"/>
      <c r="L505" s="35"/>
      <c r="M505" s="35"/>
      <c r="N505" s="48"/>
      <c r="O505" s="35"/>
      <c r="P505" s="35"/>
      <c r="Q505" s="48"/>
      <c r="R505" s="35"/>
      <c r="S505" s="35"/>
      <c r="T505" s="40"/>
      <c r="U505" s="35"/>
      <c r="V505" s="35"/>
      <c r="W505" s="35"/>
      <c r="X505" s="35"/>
      <c r="Y505" s="35"/>
      <c r="Z505" s="35"/>
      <c r="AA505" s="48"/>
      <c r="AB505" s="35"/>
      <c r="AC505" s="35"/>
      <c r="AD505" s="35"/>
      <c r="AE505" s="35"/>
      <c r="AF505" s="35"/>
      <c r="AG505" s="35"/>
      <c r="AH505" s="35"/>
      <c r="AI505" s="35"/>
    </row>
    <row r="506" spans="1:35" x14ac:dyDescent="0.25">
      <c r="A506" s="48">
        <v>11</v>
      </c>
      <c r="B506" s="176" t="s">
        <v>853</v>
      </c>
      <c r="C506" s="176" t="s">
        <v>851</v>
      </c>
      <c r="D506" s="150">
        <f t="shared" si="23"/>
        <v>46500</v>
      </c>
      <c r="E506" s="35"/>
      <c r="F506" s="35"/>
      <c r="G506" s="35"/>
      <c r="H506" s="35"/>
      <c r="I506" s="35"/>
      <c r="J506" s="35"/>
      <c r="K506" s="35"/>
      <c r="L506" s="35"/>
      <c r="M506" s="35"/>
      <c r="N506" s="48"/>
      <c r="O506" s="35"/>
      <c r="P506" s="35"/>
      <c r="Q506" s="48"/>
      <c r="R506" s="35"/>
      <c r="S506" s="35"/>
      <c r="T506" s="40"/>
      <c r="U506" s="35"/>
      <c r="V506" s="35"/>
      <c r="W506" s="35"/>
      <c r="X506" s="35"/>
      <c r="Y506" s="35"/>
      <c r="Z506" s="35"/>
      <c r="AA506" s="48">
        <v>30000</v>
      </c>
      <c r="AB506" s="35">
        <v>16500</v>
      </c>
      <c r="AC506" s="35"/>
      <c r="AD506" s="35"/>
      <c r="AE506" s="35"/>
      <c r="AF506" s="35"/>
      <c r="AG506" s="35"/>
      <c r="AH506" s="35"/>
      <c r="AI506" s="35"/>
    </row>
    <row r="507" spans="1:35" x14ac:dyDescent="0.25">
      <c r="A507" s="48">
        <v>12</v>
      </c>
      <c r="B507" s="176" t="s">
        <v>855</v>
      </c>
      <c r="C507" s="176" t="s">
        <v>854</v>
      </c>
      <c r="D507" s="150">
        <f t="shared" si="23"/>
        <v>200</v>
      </c>
      <c r="E507" s="35"/>
      <c r="F507" s="35"/>
      <c r="G507" s="35"/>
      <c r="H507" s="35"/>
      <c r="I507" s="35"/>
      <c r="J507" s="35"/>
      <c r="K507" s="35"/>
      <c r="L507" s="35"/>
      <c r="M507" s="35"/>
      <c r="N507" s="48"/>
      <c r="O507" s="35"/>
      <c r="P507" s="35"/>
      <c r="Q507" s="48"/>
      <c r="R507" s="35"/>
      <c r="S507" s="35"/>
      <c r="T507" s="40"/>
      <c r="U507" s="35"/>
      <c r="V507" s="35">
        <v>200</v>
      </c>
      <c r="W507" s="35"/>
      <c r="X507" s="35"/>
      <c r="Y507" s="35"/>
      <c r="Z507" s="35"/>
      <c r="AA507" s="48"/>
      <c r="AB507" s="35"/>
      <c r="AC507" s="35"/>
      <c r="AD507" s="35"/>
      <c r="AE507" s="35"/>
      <c r="AF507" s="35"/>
      <c r="AG507" s="35"/>
      <c r="AH507" s="35"/>
      <c r="AI507" s="35"/>
    </row>
    <row r="508" spans="1:35" x14ac:dyDescent="0.25">
      <c r="A508" s="48">
        <v>13</v>
      </c>
      <c r="B508" s="166" t="s">
        <v>431</v>
      </c>
      <c r="C508" s="166" t="s">
        <v>430</v>
      </c>
      <c r="D508" s="150">
        <f t="shared" si="23"/>
        <v>573</v>
      </c>
      <c r="E508" s="35"/>
      <c r="F508" s="35"/>
      <c r="G508" s="35"/>
      <c r="H508" s="35"/>
      <c r="I508" s="35"/>
      <c r="J508" s="35"/>
      <c r="K508" s="35"/>
      <c r="L508" s="35"/>
      <c r="M508" s="35"/>
      <c r="N508" s="48"/>
      <c r="O508" s="35"/>
      <c r="P508" s="35"/>
      <c r="Q508" s="48"/>
      <c r="R508" s="35"/>
      <c r="S508" s="35"/>
      <c r="T508" s="40"/>
      <c r="U508" s="35"/>
      <c r="V508" s="35"/>
      <c r="W508" s="35"/>
      <c r="X508" s="35"/>
      <c r="Y508" s="35"/>
      <c r="Z508" s="35">
        <v>573</v>
      </c>
      <c r="AA508" s="48"/>
      <c r="AB508" s="35"/>
      <c r="AC508" s="35"/>
      <c r="AD508" s="35"/>
      <c r="AE508" s="35"/>
      <c r="AF508" s="35"/>
      <c r="AG508" s="35"/>
      <c r="AH508" s="35"/>
      <c r="AI508" s="35"/>
    </row>
    <row r="509" spans="1:35" ht="15.75" x14ac:dyDescent="0.25">
      <c r="A509" s="48">
        <v>14</v>
      </c>
      <c r="B509" s="166" t="s">
        <v>459</v>
      </c>
      <c r="C509" s="155" t="s">
        <v>458</v>
      </c>
      <c r="D509" s="150">
        <f t="shared" si="23"/>
        <v>9000</v>
      </c>
      <c r="E509" s="35"/>
      <c r="F509" s="35"/>
      <c r="G509" s="35"/>
      <c r="H509" s="35"/>
      <c r="I509" s="35"/>
      <c r="J509" s="35"/>
      <c r="K509" s="35"/>
      <c r="L509" s="35"/>
      <c r="M509" s="35"/>
      <c r="N509" s="48"/>
      <c r="O509" s="35"/>
      <c r="P509" s="35">
        <v>9000</v>
      </c>
      <c r="Q509" s="48"/>
      <c r="R509" s="35"/>
      <c r="S509" s="35"/>
      <c r="T509" s="40"/>
      <c r="U509" s="35"/>
      <c r="V509" s="35"/>
      <c r="W509" s="35"/>
      <c r="X509" s="35"/>
      <c r="Y509" s="35"/>
      <c r="Z509" s="35"/>
      <c r="AA509" s="48"/>
      <c r="AB509" s="35"/>
      <c r="AC509" s="35"/>
      <c r="AD509" s="35"/>
      <c r="AE509" s="35"/>
      <c r="AF509" s="35"/>
      <c r="AG509" s="35"/>
      <c r="AH509" s="35"/>
      <c r="AI509" s="35"/>
    </row>
    <row r="510" spans="1:35" x14ac:dyDescent="0.25">
      <c r="A510" s="48">
        <v>15</v>
      </c>
      <c r="B510" s="166" t="s">
        <v>391</v>
      </c>
      <c r="C510" s="166" t="s">
        <v>390</v>
      </c>
      <c r="D510" s="150">
        <f t="shared" si="23"/>
        <v>3420</v>
      </c>
      <c r="E510" s="35"/>
      <c r="F510" s="35"/>
      <c r="G510" s="35">
        <v>3000</v>
      </c>
      <c r="H510" s="35"/>
      <c r="I510" s="35"/>
      <c r="J510" s="35"/>
      <c r="K510" s="35"/>
      <c r="L510" s="35"/>
      <c r="M510" s="35"/>
      <c r="N510" s="48"/>
      <c r="O510" s="35"/>
      <c r="P510" s="35"/>
      <c r="Q510" s="48"/>
      <c r="R510" s="35"/>
      <c r="S510" s="35"/>
      <c r="T510" s="40"/>
      <c r="U510" s="35"/>
      <c r="V510" s="35"/>
      <c r="W510" s="35"/>
      <c r="X510" s="35"/>
      <c r="Y510" s="35"/>
      <c r="Z510" s="35"/>
      <c r="AA510" s="48"/>
      <c r="AB510" s="35">
        <v>420</v>
      </c>
      <c r="AC510" s="35"/>
      <c r="AD510" s="35"/>
      <c r="AE510" s="35"/>
      <c r="AF510" s="35"/>
      <c r="AG510" s="35"/>
      <c r="AH510" s="35"/>
      <c r="AI510" s="35"/>
    </row>
    <row r="511" spans="1:35" x14ac:dyDescent="0.25">
      <c r="A511" s="48">
        <v>16</v>
      </c>
      <c r="B511" s="166" t="s">
        <v>873</v>
      </c>
      <c r="C511" s="166" t="s">
        <v>872</v>
      </c>
      <c r="D511" s="150">
        <f t="shared" si="23"/>
        <v>540</v>
      </c>
      <c r="E511" s="35"/>
      <c r="F511" s="35"/>
      <c r="G511" s="35"/>
      <c r="H511" s="35"/>
      <c r="I511" s="35"/>
      <c r="J511" s="35"/>
      <c r="K511" s="35"/>
      <c r="L511" s="35"/>
      <c r="M511" s="35"/>
      <c r="N511" s="48"/>
      <c r="O511" s="35">
        <v>540</v>
      </c>
      <c r="P511" s="35"/>
      <c r="Q511" s="48"/>
      <c r="R511" s="35"/>
      <c r="S511" s="35"/>
      <c r="T511" s="40"/>
      <c r="U511" s="35"/>
      <c r="V511" s="35"/>
      <c r="W511" s="35"/>
      <c r="X511" s="35"/>
      <c r="Y511" s="35"/>
      <c r="Z511" s="35"/>
      <c r="AA511" s="48"/>
      <c r="AB511" s="35"/>
      <c r="AC511" s="35"/>
      <c r="AD511" s="35"/>
      <c r="AE511" s="35"/>
      <c r="AF511" s="35"/>
      <c r="AG511" s="35"/>
      <c r="AH511" s="35"/>
      <c r="AI511" s="35"/>
    </row>
    <row r="512" spans="1:35" x14ac:dyDescent="0.25">
      <c r="A512" s="48">
        <v>17</v>
      </c>
      <c r="B512" s="176" t="s">
        <v>881</v>
      </c>
      <c r="C512" s="176" t="s">
        <v>880</v>
      </c>
      <c r="D512" s="150">
        <f t="shared" si="23"/>
        <v>2500</v>
      </c>
      <c r="E512" s="35"/>
      <c r="F512" s="35"/>
      <c r="G512" s="35"/>
      <c r="H512" s="35"/>
      <c r="I512" s="35">
        <v>2500</v>
      </c>
      <c r="J512" s="35"/>
      <c r="K512" s="35"/>
      <c r="L512" s="35"/>
      <c r="M512" s="35"/>
      <c r="N512" s="48"/>
      <c r="O512" s="35"/>
      <c r="P512" s="35"/>
      <c r="Q512" s="48"/>
      <c r="R512" s="35"/>
      <c r="S512" s="35"/>
      <c r="T512" s="40"/>
      <c r="U512" s="35"/>
      <c r="V512" s="35"/>
      <c r="W512" s="35"/>
      <c r="X512" s="35"/>
      <c r="Y512" s="35"/>
      <c r="Z512" s="35"/>
      <c r="AA512" s="48"/>
      <c r="AB512" s="35"/>
      <c r="AC512" s="35"/>
      <c r="AD512" s="35"/>
      <c r="AE512" s="35"/>
      <c r="AF512" s="35"/>
      <c r="AG512" s="35"/>
      <c r="AH512" s="35"/>
      <c r="AI512" s="35"/>
    </row>
    <row r="513" spans="1:35" x14ac:dyDescent="0.25">
      <c r="A513" s="48">
        <v>18</v>
      </c>
      <c r="B513" s="176" t="s">
        <v>909</v>
      </c>
      <c r="C513" s="176" t="s">
        <v>908</v>
      </c>
      <c r="D513" s="150">
        <f t="shared" si="23"/>
        <v>0</v>
      </c>
      <c r="E513" s="35"/>
      <c r="F513" s="35"/>
      <c r="G513" s="35"/>
      <c r="H513" s="35"/>
      <c r="I513" s="35"/>
      <c r="J513" s="35"/>
      <c r="K513" s="35"/>
      <c r="L513" s="35"/>
      <c r="M513" s="35"/>
      <c r="N513" s="48"/>
      <c r="O513" s="35"/>
      <c r="P513" s="35"/>
      <c r="Q513" s="48"/>
      <c r="R513" s="35"/>
      <c r="S513" s="35"/>
      <c r="T513" s="40"/>
      <c r="U513" s="35"/>
      <c r="V513" s="35"/>
      <c r="W513" s="35"/>
      <c r="X513" s="35"/>
      <c r="Y513" s="35"/>
      <c r="Z513" s="35"/>
      <c r="AA513" s="48"/>
      <c r="AB513" s="35"/>
      <c r="AC513" s="35"/>
      <c r="AD513" s="35"/>
      <c r="AE513" s="35"/>
      <c r="AF513" s="35"/>
      <c r="AG513" s="35"/>
      <c r="AH513" s="35"/>
      <c r="AI513" s="35"/>
    </row>
    <row r="514" spans="1:35" x14ac:dyDescent="0.25">
      <c r="A514" s="48">
        <v>19</v>
      </c>
      <c r="B514" s="176" t="s">
        <v>911</v>
      </c>
      <c r="C514" s="176" t="s">
        <v>910</v>
      </c>
      <c r="D514" s="150">
        <f t="shared" si="23"/>
        <v>0</v>
      </c>
      <c r="E514" s="35"/>
      <c r="F514" s="35"/>
      <c r="G514" s="35"/>
      <c r="H514" s="35"/>
      <c r="I514" s="35"/>
      <c r="J514" s="35"/>
      <c r="K514" s="35"/>
      <c r="L514" s="35"/>
      <c r="M514" s="35"/>
      <c r="N514" s="48"/>
      <c r="O514" s="35"/>
      <c r="P514" s="35"/>
      <c r="Q514" s="48"/>
      <c r="R514" s="35"/>
      <c r="S514" s="35"/>
      <c r="T514" s="40"/>
      <c r="U514" s="35"/>
      <c r="V514" s="35"/>
      <c r="W514" s="35"/>
      <c r="X514" s="35"/>
      <c r="Y514" s="35"/>
      <c r="Z514" s="35"/>
      <c r="AA514" s="48"/>
      <c r="AB514" s="35"/>
      <c r="AC514" s="35"/>
      <c r="AD514" s="35"/>
      <c r="AE514" s="35"/>
      <c r="AF514" s="35"/>
      <c r="AG514" s="35"/>
      <c r="AH514" s="35"/>
      <c r="AI514" s="35"/>
    </row>
    <row r="515" spans="1:35" x14ac:dyDescent="0.25">
      <c r="A515" s="48">
        <v>20</v>
      </c>
      <c r="B515" s="166" t="s">
        <v>513</v>
      </c>
      <c r="C515" s="166" t="s">
        <v>514</v>
      </c>
      <c r="D515" s="150">
        <f t="shared" si="23"/>
        <v>2000</v>
      </c>
      <c r="E515" s="35"/>
      <c r="F515" s="35"/>
      <c r="G515" s="35"/>
      <c r="H515" s="35">
        <v>2000</v>
      </c>
      <c r="I515" s="35"/>
      <c r="J515" s="35"/>
      <c r="K515" s="35"/>
      <c r="L515" s="35"/>
      <c r="M515" s="35"/>
      <c r="N515" s="48"/>
      <c r="O515" s="35"/>
      <c r="P515" s="35"/>
      <c r="Q515" s="48"/>
      <c r="R515" s="35"/>
      <c r="S515" s="35"/>
      <c r="T515" s="40"/>
      <c r="U515" s="35"/>
      <c r="V515" s="35"/>
      <c r="W515" s="35"/>
      <c r="X515" s="35"/>
      <c r="Y515" s="35"/>
      <c r="Z515" s="35"/>
      <c r="AA515" s="48"/>
      <c r="AB515" s="35"/>
      <c r="AC515" s="35"/>
      <c r="AD515" s="35"/>
      <c r="AE515" s="35"/>
      <c r="AF515" s="35"/>
      <c r="AG515" s="35"/>
      <c r="AH515" s="35"/>
      <c r="AI515" s="35"/>
    </row>
    <row r="516" spans="1:35" x14ac:dyDescent="0.25">
      <c r="A516" s="48">
        <v>21</v>
      </c>
      <c r="B516" s="166" t="s">
        <v>957</v>
      </c>
      <c r="C516" s="166" t="s">
        <v>956</v>
      </c>
      <c r="D516" s="150">
        <f t="shared" si="23"/>
        <v>0</v>
      </c>
      <c r="E516" s="35"/>
      <c r="F516" s="35"/>
      <c r="G516" s="35"/>
      <c r="H516" s="35"/>
      <c r="I516" s="35"/>
      <c r="J516" s="35"/>
      <c r="K516" s="35"/>
      <c r="L516" s="35"/>
      <c r="M516" s="35"/>
      <c r="N516" s="48"/>
      <c r="O516" s="35"/>
      <c r="P516" s="35"/>
      <c r="Q516" s="48"/>
      <c r="R516" s="35"/>
      <c r="S516" s="35"/>
      <c r="T516" s="40"/>
      <c r="U516" s="35"/>
      <c r="V516" s="35"/>
      <c r="W516" s="35"/>
      <c r="X516" s="35"/>
      <c r="Y516" s="35"/>
      <c r="Z516" s="35"/>
      <c r="AA516" s="48"/>
      <c r="AB516" s="35"/>
      <c r="AC516" s="35"/>
      <c r="AD516" s="35"/>
      <c r="AE516" s="35"/>
      <c r="AF516" s="35"/>
      <c r="AG516" s="35"/>
      <c r="AH516" s="35"/>
      <c r="AI516" s="35"/>
    </row>
    <row r="517" spans="1:35" x14ac:dyDescent="0.25">
      <c r="A517" s="48">
        <v>22</v>
      </c>
      <c r="B517" s="166" t="s">
        <v>403</v>
      </c>
      <c r="C517" s="166" t="s">
        <v>405</v>
      </c>
      <c r="D517" s="150">
        <f t="shared" si="23"/>
        <v>0</v>
      </c>
      <c r="E517" s="35"/>
      <c r="F517" s="35"/>
      <c r="G517" s="35"/>
      <c r="H517" s="35"/>
      <c r="I517" s="35"/>
      <c r="J517" s="35"/>
      <c r="K517" s="35"/>
      <c r="L517" s="35"/>
      <c r="M517" s="35"/>
      <c r="N517" s="48"/>
      <c r="O517" s="35"/>
      <c r="P517" s="35"/>
      <c r="Q517" s="48"/>
      <c r="R517" s="35"/>
      <c r="S517" s="35"/>
      <c r="T517" s="40"/>
      <c r="U517" s="35"/>
      <c r="V517" s="35"/>
      <c r="W517" s="35"/>
      <c r="X517" s="35"/>
      <c r="Y517" s="35"/>
      <c r="Z517" s="35"/>
      <c r="AA517" s="48"/>
      <c r="AB517" s="35"/>
      <c r="AC517" s="35"/>
      <c r="AD517" s="35"/>
      <c r="AE517" s="35"/>
      <c r="AF517" s="35"/>
      <c r="AG517" s="35"/>
      <c r="AH517" s="35"/>
      <c r="AI517" s="35"/>
    </row>
    <row r="518" spans="1:35" x14ac:dyDescent="0.25">
      <c r="A518" s="48">
        <v>23</v>
      </c>
      <c r="B518" s="166" t="s">
        <v>404</v>
      </c>
      <c r="C518" s="166" t="s">
        <v>406</v>
      </c>
      <c r="D518" s="150">
        <f t="shared" si="23"/>
        <v>0</v>
      </c>
      <c r="E518" s="35"/>
      <c r="F518" s="35"/>
      <c r="G518" s="35"/>
      <c r="H518" s="35"/>
      <c r="I518" s="35"/>
      <c r="J518" s="35"/>
      <c r="K518" s="35"/>
      <c r="L518" s="35"/>
      <c r="M518" s="35"/>
      <c r="N518" s="48"/>
      <c r="O518" s="35"/>
      <c r="P518" s="35"/>
      <c r="Q518" s="48"/>
      <c r="R518" s="35"/>
      <c r="S518" s="35"/>
      <c r="T518" s="40"/>
      <c r="U518" s="35"/>
      <c r="V518" s="35"/>
      <c r="W518" s="35"/>
      <c r="X518" s="35"/>
      <c r="Y518" s="35"/>
      <c r="Z518" s="35"/>
      <c r="AA518" s="48"/>
      <c r="AB518" s="35"/>
      <c r="AC518" s="35"/>
      <c r="AD518" s="35"/>
      <c r="AE518" s="35"/>
      <c r="AF518" s="35"/>
      <c r="AG518" s="35"/>
      <c r="AH518" s="35"/>
      <c r="AI518" s="35"/>
    </row>
    <row r="519" spans="1:35" x14ac:dyDescent="0.25">
      <c r="A519" s="48">
        <v>24</v>
      </c>
      <c r="B519" s="176" t="s">
        <v>959</v>
      </c>
      <c r="C519" s="176" t="s">
        <v>958</v>
      </c>
      <c r="D519" s="150">
        <f t="shared" si="23"/>
        <v>0</v>
      </c>
      <c r="E519" s="35"/>
      <c r="F519" s="35"/>
      <c r="G519" s="35"/>
      <c r="H519" s="35"/>
      <c r="I519" s="35"/>
      <c r="J519" s="35"/>
      <c r="K519" s="35"/>
      <c r="L519" s="35"/>
      <c r="M519" s="35"/>
      <c r="N519" s="48"/>
      <c r="O519" s="35"/>
      <c r="P519" s="35"/>
      <c r="Q519" s="48"/>
      <c r="R519" s="35"/>
      <c r="S519" s="35"/>
      <c r="T519" s="40"/>
      <c r="U519" s="35"/>
      <c r="V519" s="35"/>
      <c r="W519" s="35"/>
      <c r="X519" s="35"/>
      <c r="Y519" s="35"/>
      <c r="Z519" s="35"/>
      <c r="AA519" s="48"/>
      <c r="AB519" s="35"/>
      <c r="AC519" s="35"/>
      <c r="AD519" s="35"/>
      <c r="AE519" s="35"/>
      <c r="AF519" s="35"/>
      <c r="AG519" s="35"/>
      <c r="AH519" s="35"/>
      <c r="AI519" s="35"/>
    </row>
    <row r="520" spans="1:35" x14ac:dyDescent="0.25">
      <c r="A520" s="48">
        <v>25</v>
      </c>
      <c r="B520" s="166" t="s">
        <v>641</v>
      </c>
      <c r="C520" s="166" t="s">
        <v>639</v>
      </c>
      <c r="D520" s="150">
        <f t="shared" si="23"/>
        <v>1030</v>
      </c>
      <c r="E520" s="35"/>
      <c r="F520" s="35"/>
      <c r="G520" s="35"/>
      <c r="H520" s="35"/>
      <c r="I520" s="35"/>
      <c r="J520" s="35"/>
      <c r="K520" s="35"/>
      <c r="L520" s="35"/>
      <c r="M520" s="35"/>
      <c r="N520" s="48"/>
      <c r="O520" s="35"/>
      <c r="P520" s="35"/>
      <c r="Q520" s="48"/>
      <c r="R520" s="35"/>
      <c r="S520" s="35"/>
      <c r="T520" s="40"/>
      <c r="U520" s="35"/>
      <c r="V520" s="35"/>
      <c r="W520" s="35"/>
      <c r="X520" s="35"/>
      <c r="Y520" s="35"/>
      <c r="Z520" s="35"/>
      <c r="AA520" s="48"/>
      <c r="AB520" s="35"/>
      <c r="AC520" s="35">
        <v>1030</v>
      </c>
      <c r="AD520" s="35"/>
      <c r="AE520" s="35"/>
      <c r="AF520" s="35"/>
      <c r="AG520" s="35"/>
      <c r="AH520" s="35"/>
      <c r="AI520" s="35"/>
    </row>
    <row r="521" spans="1:35" x14ac:dyDescent="0.25">
      <c r="A521" s="48">
        <v>26</v>
      </c>
      <c r="B521" s="166" t="s">
        <v>642</v>
      </c>
      <c r="C521" s="166" t="s">
        <v>640</v>
      </c>
      <c r="D521" s="150">
        <f t="shared" si="23"/>
        <v>0</v>
      </c>
      <c r="E521" s="35"/>
      <c r="F521" s="35"/>
      <c r="G521" s="35"/>
      <c r="H521" s="35"/>
      <c r="I521" s="35"/>
      <c r="J521" s="35"/>
      <c r="K521" s="35"/>
      <c r="L521" s="35"/>
      <c r="M521" s="35"/>
      <c r="N521" s="48"/>
      <c r="O521" s="35"/>
      <c r="P521" s="35"/>
      <c r="Q521" s="48"/>
      <c r="R521" s="35"/>
      <c r="S521" s="35"/>
      <c r="T521" s="40"/>
      <c r="U521" s="35"/>
      <c r="V521" s="35"/>
      <c r="W521" s="35"/>
      <c r="X521" s="35"/>
      <c r="Y521" s="35"/>
      <c r="Z521" s="35"/>
      <c r="AA521" s="48"/>
      <c r="AB521" s="35"/>
      <c r="AC521" s="35"/>
      <c r="AD521" s="35"/>
      <c r="AE521" s="35"/>
      <c r="AF521" s="35"/>
      <c r="AG521" s="35"/>
      <c r="AH521" s="35"/>
      <c r="AI521" s="35"/>
    </row>
    <row r="522" spans="1:35" x14ac:dyDescent="0.25">
      <c r="A522" s="48">
        <v>27</v>
      </c>
      <c r="B522" s="166" t="s">
        <v>366</v>
      </c>
      <c r="C522" s="166" t="s">
        <v>365</v>
      </c>
      <c r="D522" s="150">
        <f t="shared" si="23"/>
        <v>0</v>
      </c>
      <c r="E522" s="35"/>
      <c r="F522" s="35"/>
      <c r="G522" s="35"/>
      <c r="H522" s="35"/>
      <c r="I522" s="35"/>
      <c r="J522" s="35"/>
      <c r="K522" s="35"/>
      <c r="L522" s="35"/>
      <c r="M522" s="35"/>
      <c r="N522" s="48"/>
      <c r="O522" s="35"/>
      <c r="P522" s="35"/>
      <c r="Q522" s="48"/>
      <c r="R522" s="35"/>
      <c r="S522" s="35"/>
      <c r="T522" s="40"/>
      <c r="U522" s="35"/>
      <c r="V522" s="35"/>
      <c r="W522" s="35"/>
      <c r="X522" s="35"/>
      <c r="Y522" s="35"/>
      <c r="Z522" s="35"/>
      <c r="AA522" s="48"/>
      <c r="AB522" s="35"/>
      <c r="AC522" s="35"/>
      <c r="AD522" s="35"/>
      <c r="AE522" s="35"/>
      <c r="AF522" s="35"/>
      <c r="AG522" s="35"/>
      <c r="AH522" s="35"/>
      <c r="AI522" s="35"/>
    </row>
    <row r="523" spans="1:35" x14ac:dyDescent="0.25">
      <c r="A523" s="48">
        <v>28</v>
      </c>
      <c r="B523" s="166" t="s">
        <v>218</v>
      </c>
      <c r="C523" s="166" t="s">
        <v>217</v>
      </c>
      <c r="D523" s="150">
        <f t="shared" si="23"/>
        <v>0</v>
      </c>
      <c r="E523" s="35"/>
      <c r="F523" s="35"/>
      <c r="G523" s="35"/>
      <c r="H523" s="35"/>
      <c r="I523" s="35"/>
      <c r="J523" s="35"/>
      <c r="K523" s="35"/>
      <c r="L523" s="35"/>
      <c r="M523" s="35"/>
      <c r="N523" s="48"/>
      <c r="O523" s="35"/>
      <c r="P523" s="35"/>
      <c r="Q523" s="48"/>
      <c r="R523" s="35"/>
      <c r="S523" s="35"/>
      <c r="T523" s="40"/>
      <c r="U523" s="35"/>
      <c r="V523" s="35"/>
      <c r="W523" s="35"/>
      <c r="X523" s="35"/>
      <c r="Y523" s="35"/>
      <c r="Z523" s="35"/>
      <c r="AA523" s="48"/>
      <c r="AB523" s="35"/>
      <c r="AC523" s="35"/>
      <c r="AD523" s="35"/>
      <c r="AE523" s="35"/>
      <c r="AF523" s="35"/>
      <c r="AG523" s="35"/>
      <c r="AH523" s="35"/>
      <c r="AI523" s="35"/>
    </row>
    <row r="524" spans="1:35" x14ac:dyDescent="0.25">
      <c r="A524" s="48">
        <v>29</v>
      </c>
      <c r="B524" s="166" t="s">
        <v>426</v>
      </c>
      <c r="C524" s="166" t="s">
        <v>427</v>
      </c>
      <c r="D524" s="150">
        <f t="shared" si="23"/>
        <v>0</v>
      </c>
      <c r="E524" s="35"/>
      <c r="F524" s="35"/>
      <c r="G524" s="35"/>
      <c r="H524" s="35"/>
      <c r="I524" s="35"/>
      <c r="J524" s="35"/>
      <c r="K524" s="35"/>
      <c r="L524" s="35"/>
      <c r="M524" s="35"/>
      <c r="N524" s="48"/>
      <c r="O524" s="35"/>
      <c r="P524" s="35"/>
      <c r="Q524" s="48"/>
      <c r="R524" s="35"/>
      <c r="S524" s="35"/>
      <c r="T524" s="40"/>
      <c r="U524" s="35"/>
      <c r="V524" s="35"/>
      <c r="W524" s="35"/>
      <c r="X524" s="35"/>
      <c r="Y524" s="35"/>
      <c r="Z524" s="35"/>
      <c r="AA524" s="48"/>
      <c r="AB524" s="35"/>
      <c r="AC524" s="35"/>
      <c r="AD524" s="35"/>
      <c r="AE524" s="35"/>
      <c r="AF524" s="35"/>
      <c r="AG524" s="35"/>
      <c r="AH524" s="35"/>
      <c r="AI524" s="35"/>
    </row>
    <row r="525" spans="1:35" x14ac:dyDescent="0.25">
      <c r="A525" s="48">
        <v>30</v>
      </c>
      <c r="B525" s="166" t="s">
        <v>130</v>
      </c>
      <c r="C525" s="166" t="s">
        <v>129</v>
      </c>
      <c r="D525" s="150">
        <f t="shared" si="23"/>
        <v>0</v>
      </c>
      <c r="E525" s="35"/>
      <c r="F525" s="35"/>
      <c r="G525" s="35"/>
      <c r="H525" s="35"/>
      <c r="I525" s="35"/>
      <c r="J525" s="35"/>
      <c r="K525" s="35"/>
      <c r="L525" s="35"/>
      <c r="M525" s="35"/>
      <c r="N525" s="48"/>
      <c r="O525" s="35"/>
      <c r="P525" s="35"/>
      <c r="Q525" s="48"/>
      <c r="R525" s="35"/>
      <c r="S525" s="35"/>
      <c r="T525" s="40"/>
      <c r="U525" s="35"/>
      <c r="V525" s="35"/>
      <c r="W525" s="35"/>
      <c r="X525" s="35"/>
      <c r="Y525" s="35"/>
      <c r="Z525" s="35"/>
      <c r="AA525" s="48"/>
      <c r="AB525" s="35"/>
      <c r="AC525" s="35"/>
      <c r="AD525" s="35"/>
      <c r="AE525" s="35"/>
      <c r="AF525" s="35"/>
      <c r="AG525" s="35"/>
      <c r="AH525" s="35"/>
      <c r="AI525" s="35"/>
    </row>
    <row r="526" spans="1:35" x14ac:dyDescent="0.25">
      <c r="A526" s="48">
        <v>31</v>
      </c>
      <c r="B526" s="166" t="s">
        <v>724</v>
      </c>
      <c r="C526" s="166" t="s">
        <v>721</v>
      </c>
      <c r="D526" s="150">
        <f t="shared" si="23"/>
        <v>1500</v>
      </c>
      <c r="E526" s="35"/>
      <c r="F526" s="35"/>
      <c r="G526" s="35"/>
      <c r="H526" s="35"/>
      <c r="I526" s="35"/>
      <c r="J526" s="35"/>
      <c r="K526" s="35"/>
      <c r="L526" s="35"/>
      <c r="M526" s="35"/>
      <c r="N526" s="48"/>
      <c r="O526" s="35"/>
      <c r="P526" s="35"/>
      <c r="Q526" s="48"/>
      <c r="R526" s="35"/>
      <c r="S526" s="35"/>
      <c r="T526" s="40"/>
      <c r="U526" s="35"/>
      <c r="V526" s="35"/>
      <c r="W526" s="35">
        <v>1500</v>
      </c>
      <c r="X526" s="35"/>
      <c r="Y526" s="35"/>
      <c r="Z526" s="35"/>
      <c r="AA526" s="48"/>
      <c r="AB526" s="35"/>
      <c r="AC526" s="35"/>
      <c r="AD526" s="35"/>
      <c r="AE526" s="35"/>
      <c r="AF526" s="35"/>
      <c r="AG526" s="35"/>
      <c r="AH526" s="35"/>
      <c r="AI526" s="35"/>
    </row>
    <row r="527" spans="1:35" x14ac:dyDescent="0.25">
      <c r="A527" s="48">
        <v>32</v>
      </c>
      <c r="B527" s="166" t="s">
        <v>725</v>
      </c>
      <c r="C527" s="166" t="s">
        <v>722</v>
      </c>
      <c r="D527" s="150">
        <f t="shared" si="23"/>
        <v>0</v>
      </c>
      <c r="E527" s="35"/>
      <c r="F527" s="35"/>
      <c r="G527" s="35"/>
      <c r="H527" s="35"/>
      <c r="I527" s="35"/>
      <c r="J527" s="35"/>
      <c r="K527" s="35"/>
      <c r="L527" s="35"/>
      <c r="M527" s="35"/>
      <c r="N527" s="48"/>
      <c r="O527" s="35"/>
      <c r="P527" s="35"/>
      <c r="Q527" s="48"/>
      <c r="R527" s="35"/>
      <c r="S527" s="35"/>
      <c r="T527" s="40"/>
      <c r="U527" s="35"/>
      <c r="V527" s="35"/>
      <c r="W527" s="35"/>
      <c r="X527" s="35"/>
      <c r="Y527" s="35"/>
      <c r="Z527" s="35"/>
      <c r="AA527" s="48"/>
      <c r="AB527" s="35"/>
      <c r="AC527" s="35"/>
      <c r="AD527" s="35"/>
      <c r="AE527" s="35"/>
      <c r="AF527" s="35"/>
      <c r="AG527" s="35"/>
      <c r="AH527" s="35"/>
      <c r="AI527" s="35"/>
    </row>
    <row r="528" spans="1:35" x14ac:dyDescent="0.25">
      <c r="A528" s="48">
        <v>33</v>
      </c>
      <c r="B528" s="166" t="s">
        <v>726</v>
      </c>
      <c r="C528" s="166" t="s">
        <v>723</v>
      </c>
      <c r="D528" s="150">
        <f t="shared" si="23"/>
        <v>0</v>
      </c>
      <c r="E528" s="35"/>
      <c r="F528" s="35"/>
      <c r="G528" s="35"/>
      <c r="H528" s="35"/>
      <c r="I528" s="35"/>
      <c r="J528" s="35"/>
      <c r="K528" s="35"/>
      <c r="L528" s="35"/>
      <c r="M528" s="35"/>
      <c r="N528" s="48"/>
      <c r="O528" s="35"/>
      <c r="P528" s="35"/>
      <c r="Q528" s="48"/>
      <c r="R528" s="35"/>
      <c r="S528" s="35"/>
      <c r="T528" s="40"/>
      <c r="U528" s="35"/>
      <c r="V528" s="35"/>
      <c r="W528" s="35"/>
      <c r="X528" s="35"/>
      <c r="Y528" s="35"/>
      <c r="Z528" s="35"/>
      <c r="AA528" s="48"/>
      <c r="AB528" s="35"/>
      <c r="AC528" s="35"/>
      <c r="AD528" s="35"/>
      <c r="AE528" s="35"/>
      <c r="AF528" s="35"/>
      <c r="AG528" s="35"/>
      <c r="AH528" s="35"/>
      <c r="AI528" s="35"/>
    </row>
    <row r="529" spans="1:35" x14ac:dyDescent="0.25">
      <c r="A529" s="48">
        <v>34</v>
      </c>
      <c r="B529" s="166" t="s">
        <v>260</v>
      </c>
      <c r="C529" s="166" t="s">
        <v>259</v>
      </c>
      <c r="D529" s="150">
        <f t="shared" si="23"/>
        <v>2550</v>
      </c>
      <c r="E529" s="35"/>
      <c r="F529" s="35"/>
      <c r="G529" s="35"/>
      <c r="H529" s="35"/>
      <c r="I529" s="35"/>
      <c r="J529" s="35"/>
      <c r="K529" s="35"/>
      <c r="L529" s="35"/>
      <c r="M529" s="35"/>
      <c r="N529" s="48"/>
      <c r="O529" s="35"/>
      <c r="P529" s="35"/>
      <c r="Q529" s="48"/>
      <c r="R529" s="35"/>
      <c r="S529" s="35"/>
      <c r="T529" s="40"/>
      <c r="U529" s="35"/>
      <c r="V529" s="35"/>
      <c r="W529" s="35">
        <v>2550</v>
      </c>
      <c r="X529" s="35"/>
      <c r="Y529" s="35"/>
      <c r="Z529" s="35"/>
      <c r="AA529" s="48"/>
      <c r="AB529" s="35"/>
      <c r="AC529" s="35"/>
      <c r="AD529" s="35"/>
      <c r="AE529" s="35"/>
      <c r="AF529" s="35"/>
      <c r="AG529" s="35"/>
      <c r="AH529" s="35"/>
      <c r="AI529" s="35"/>
    </row>
    <row r="530" spans="1:35" x14ac:dyDescent="0.25">
      <c r="A530" s="48">
        <v>35</v>
      </c>
      <c r="B530" s="166" t="s">
        <v>171</v>
      </c>
      <c r="C530" s="166" t="s">
        <v>170</v>
      </c>
      <c r="D530" s="150">
        <f t="shared" si="23"/>
        <v>0</v>
      </c>
      <c r="E530" s="35"/>
      <c r="F530" s="35"/>
      <c r="G530" s="35"/>
      <c r="H530" s="35"/>
      <c r="I530" s="35"/>
      <c r="J530" s="35"/>
      <c r="K530" s="35"/>
      <c r="L530" s="35"/>
      <c r="M530" s="35"/>
      <c r="N530" s="48"/>
      <c r="O530" s="35"/>
      <c r="P530" s="35"/>
      <c r="Q530" s="48"/>
      <c r="R530" s="35"/>
      <c r="S530" s="35"/>
      <c r="T530" s="40"/>
      <c r="U530" s="35"/>
      <c r="V530" s="35"/>
      <c r="W530" s="35"/>
      <c r="X530" s="35"/>
      <c r="Y530" s="35"/>
      <c r="Z530" s="35"/>
      <c r="AA530" s="48"/>
      <c r="AB530" s="35"/>
      <c r="AC530" s="35"/>
      <c r="AD530" s="35"/>
      <c r="AE530" s="35"/>
      <c r="AF530" s="35"/>
      <c r="AG530" s="35"/>
      <c r="AH530" s="35"/>
      <c r="AI530" s="35"/>
    </row>
    <row r="531" spans="1:35" x14ac:dyDescent="0.25">
      <c r="A531" s="48">
        <v>36</v>
      </c>
      <c r="B531" s="166" t="s">
        <v>645</v>
      </c>
      <c r="C531" s="166" t="s">
        <v>643</v>
      </c>
      <c r="D531" s="150">
        <f t="shared" si="23"/>
        <v>100</v>
      </c>
      <c r="E531" s="35"/>
      <c r="F531" s="35"/>
      <c r="G531" s="35">
        <v>100</v>
      </c>
      <c r="H531" s="35"/>
      <c r="I531" s="35"/>
      <c r="J531" s="35"/>
      <c r="K531" s="35"/>
      <c r="L531" s="35"/>
      <c r="M531" s="35"/>
      <c r="N531" s="48"/>
      <c r="O531" s="35"/>
      <c r="P531" s="35"/>
      <c r="Q531" s="48"/>
      <c r="R531" s="35"/>
      <c r="S531" s="35"/>
      <c r="T531" s="40"/>
      <c r="U531" s="35"/>
      <c r="V531" s="35"/>
      <c r="W531" s="35"/>
      <c r="X531" s="35"/>
      <c r="Y531" s="35"/>
      <c r="Z531" s="35"/>
      <c r="AA531" s="48"/>
      <c r="AB531" s="35"/>
      <c r="AC531" s="35"/>
      <c r="AD531" s="35"/>
      <c r="AE531" s="35"/>
      <c r="AF531" s="35"/>
      <c r="AG531" s="35"/>
      <c r="AH531" s="35"/>
      <c r="AI531" s="35"/>
    </row>
    <row r="532" spans="1:35" x14ac:dyDescent="0.25">
      <c r="A532" s="48">
        <v>37</v>
      </c>
      <c r="B532" s="166" t="s">
        <v>646</v>
      </c>
      <c r="C532" s="166" t="s">
        <v>644</v>
      </c>
      <c r="D532" s="150">
        <f t="shared" si="23"/>
        <v>0</v>
      </c>
      <c r="E532" s="35"/>
      <c r="F532" s="35"/>
      <c r="G532" s="35"/>
      <c r="H532" s="35"/>
      <c r="I532" s="35"/>
      <c r="J532" s="35"/>
      <c r="K532" s="35"/>
      <c r="L532" s="35"/>
      <c r="M532" s="35"/>
      <c r="N532" s="48"/>
      <c r="O532" s="35"/>
      <c r="P532" s="35"/>
      <c r="Q532" s="48"/>
      <c r="R532" s="35"/>
      <c r="S532" s="35"/>
      <c r="T532" s="40"/>
      <c r="U532" s="35"/>
      <c r="V532" s="35"/>
      <c r="W532" s="35"/>
      <c r="X532" s="35"/>
      <c r="Y532" s="35"/>
      <c r="Z532" s="35"/>
      <c r="AA532" s="48"/>
      <c r="AB532" s="35"/>
      <c r="AC532" s="35"/>
      <c r="AD532" s="35"/>
      <c r="AE532" s="35"/>
      <c r="AF532" s="35"/>
      <c r="AG532" s="35"/>
      <c r="AH532" s="35"/>
      <c r="AI532" s="35"/>
    </row>
    <row r="533" spans="1:35" x14ac:dyDescent="0.25">
      <c r="A533" s="48">
        <v>38</v>
      </c>
      <c r="B533" s="176" t="s">
        <v>1116</v>
      </c>
      <c r="C533" s="176" t="s">
        <v>1115</v>
      </c>
      <c r="D533" s="150">
        <f t="shared" si="23"/>
        <v>500</v>
      </c>
      <c r="E533" s="35"/>
      <c r="F533" s="35"/>
      <c r="G533" s="35"/>
      <c r="H533" s="35"/>
      <c r="I533" s="35"/>
      <c r="J533" s="35"/>
      <c r="K533" s="35"/>
      <c r="L533" s="35"/>
      <c r="M533" s="35"/>
      <c r="N533" s="48"/>
      <c r="O533" s="35"/>
      <c r="P533" s="35"/>
      <c r="Q533" s="48"/>
      <c r="R533" s="35"/>
      <c r="S533" s="35"/>
      <c r="T533" s="40"/>
      <c r="U533" s="35"/>
      <c r="V533" s="35"/>
      <c r="W533" s="35"/>
      <c r="X533" s="35"/>
      <c r="Y533" s="35">
        <v>500</v>
      </c>
      <c r="Z533" s="35"/>
      <c r="AA533" s="48"/>
      <c r="AB533" s="35"/>
      <c r="AC533" s="35"/>
      <c r="AD533" s="35"/>
      <c r="AE533" s="35"/>
      <c r="AF533" s="35"/>
      <c r="AG533" s="35"/>
      <c r="AH533" s="35"/>
      <c r="AI533" s="35"/>
    </row>
    <row r="534" spans="1:35" x14ac:dyDescent="0.25">
      <c r="A534" s="48">
        <v>39</v>
      </c>
      <c r="B534" s="166" t="s">
        <v>531</v>
      </c>
      <c r="C534" s="166" t="s">
        <v>530</v>
      </c>
      <c r="D534" s="150">
        <f t="shared" si="23"/>
        <v>1300</v>
      </c>
      <c r="E534" s="35"/>
      <c r="F534" s="35"/>
      <c r="G534" s="35"/>
      <c r="H534" s="35"/>
      <c r="I534" s="35"/>
      <c r="J534" s="35"/>
      <c r="K534" s="35"/>
      <c r="L534" s="35"/>
      <c r="M534" s="35"/>
      <c r="N534" s="48"/>
      <c r="O534" s="35"/>
      <c r="P534" s="35"/>
      <c r="Q534" s="48"/>
      <c r="R534" s="35"/>
      <c r="S534" s="35"/>
      <c r="T534" s="40"/>
      <c r="U534" s="35"/>
      <c r="V534" s="35"/>
      <c r="W534" s="35">
        <v>1300</v>
      </c>
      <c r="X534" s="35"/>
      <c r="Y534" s="35"/>
      <c r="Z534" s="35"/>
      <c r="AA534" s="48"/>
      <c r="AB534" s="35"/>
      <c r="AC534" s="35"/>
      <c r="AD534" s="35"/>
      <c r="AE534" s="35"/>
      <c r="AF534" s="35"/>
      <c r="AG534" s="35"/>
      <c r="AH534" s="35"/>
      <c r="AI534" s="35"/>
    </row>
    <row r="535" spans="1:35" x14ac:dyDescent="0.25">
      <c r="A535" s="48">
        <v>40</v>
      </c>
      <c r="B535" s="166" t="s">
        <v>183</v>
      </c>
      <c r="C535" s="166" t="s">
        <v>182</v>
      </c>
      <c r="D535" s="150">
        <f t="shared" si="23"/>
        <v>0</v>
      </c>
      <c r="E535" s="35"/>
      <c r="F535" s="35"/>
      <c r="G535" s="35"/>
      <c r="H535" s="35"/>
      <c r="I535" s="35"/>
      <c r="J535" s="35"/>
      <c r="K535" s="35"/>
      <c r="L535" s="35"/>
      <c r="M535" s="35"/>
      <c r="N535" s="48"/>
      <c r="O535" s="35"/>
      <c r="P535" s="35"/>
      <c r="Q535" s="48"/>
      <c r="R535" s="35"/>
      <c r="S535" s="35"/>
      <c r="T535" s="40"/>
      <c r="U535" s="35"/>
      <c r="V535" s="35"/>
      <c r="W535" s="35"/>
      <c r="X535" s="35"/>
      <c r="Y535" s="35"/>
      <c r="Z535" s="35"/>
      <c r="AA535" s="48"/>
      <c r="AB535" s="35"/>
      <c r="AC535" s="35"/>
      <c r="AD535" s="35"/>
      <c r="AE535" s="35"/>
      <c r="AF535" s="35"/>
      <c r="AG535" s="35"/>
      <c r="AH535" s="35"/>
      <c r="AI535" s="35"/>
    </row>
    <row r="536" spans="1:35" x14ac:dyDescent="0.25">
      <c r="A536" s="141" t="s">
        <v>140</v>
      </c>
      <c r="B536" s="33" t="s">
        <v>97</v>
      </c>
      <c r="C536" s="141" t="s">
        <v>141</v>
      </c>
      <c r="D536" s="149">
        <f t="shared" ref="D536:AI536" si="24">SUM(D537:D577)</f>
        <v>340000</v>
      </c>
      <c r="E536" s="149">
        <f t="shared" si="24"/>
        <v>0</v>
      </c>
      <c r="F536" s="149">
        <f t="shared" si="24"/>
        <v>0</v>
      </c>
      <c r="G536" s="149">
        <f t="shared" si="24"/>
        <v>25000</v>
      </c>
      <c r="H536" s="149">
        <f t="shared" si="24"/>
        <v>55000</v>
      </c>
      <c r="I536" s="149">
        <f t="shared" si="24"/>
        <v>0</v>
      </c>
      <c r="J536" s="149">
        <f t="shared" si="24"/>
        <v>0</v>
      </c>
      <c r="K536" s="149">
        <f t="shared" si="24"/>
        <v>25000</v>
      </c>
      <c r="L536" s="149">
        <f t="shared" si="24"/>
        <v>0</v>
      </c>
      <c r="M536" s="149">
        <f t="shared" si="24"/>
        <v>0</v>
      </c>
      <c r="N536" s="149">
        <f t="shared" si="24"/>
        <v>80000</v>
      </c>
      <c r="O536" s="149">
        <f t="shared" si="24"/>
        <v>0</v>
      </c>
      <c r="P536" s="149">
        <f t="shared" si="24"/>
        <v>0</v>
      </c>
      <c r="Q536" s="149">
        <f t="shared" si="24"/>
        <v>5000</v>
      </c>
      <c r="R536" s="149">
        <f t="shared" si="24"/>
        <v>0</v>
      </c>
      <c r="S536" s="149">
        <f t="shared" si="24"/>
        <v>0</v>
      </c>
      <c r="T536" s="149">
        <f t="shared" si="24"/>
        <v>0</v>
      </c>
      <c r="U536" s="149">
        <f t="shared" si="24"/>
        <v>20000</v>
      </c>
      <c r="V536" s="149">
        <f t="shared" si="24"/>
        <v>15000</v>
      </c>
      <c r="W536" s="149">
        <f t="shared" si="24"/>
        <v>0</v>
      </c>
      <c r="X536" s="149">
        <f t="shared" si="24"/>
        <v>25000</v>
      </c>
      <c r="Y536" s="149">
        <f t="shared" si="24"/>
        <v>35000</v>
      </c>
      <c r="Z536" s="149">
        <f t="shared" si="24"/>
        <v>5000</v>
      </c>
      <c r="AA536" s="149">
        <f t="shared" si="24"/>
        <v>0</v>
      </c>
      <c r="AB536" s="149">
        <f t="shared" si="24"/>
        <v>50000</v>
      </c>
      <c r="AC536" s="149">
        <f t="shared" si="24"/>
        <v>0</v>
      </c>
      <c r="AD536" s="149">
        <f t="shared" si="24"/>
        <v>0</v>
      </c>
      <c r="AE536" s="149">
        <f t="shared" si="24"/>
        <v>0</v>
      </c>
      <c r="AF536" s="149">
        <f t="shared" si="24"/>
        <v>0</v>
      </c>
      <c r="AG536" s="149">
        <f t="shared" si="24"/>
        <v>0</v>
      </c>
      <c r="AH536" s="149">
        <f t="shared" si="24"/>
        <v>0</v>
      </c>
      <c r="AI536" s="149">
        <f t="shared" si="24"/>
        <v>0</v>
      </c>
    </row>
    <row r="537" spans="1:35" x14ac:dyDescent="0.25">
      <c r="A537" s="48">
        <v>1</v>
      </c>
      <c r="B537" s="166" t="s">
        <v>790</v>
      </c>
      <c r="C537" s="166" t="s">
        <v>785</v>
      </c>
      <c r="D537" s="150">
        <f t="shared" ref="D537:D577" si="25">SUM(E537:AI537)</f>
        <v>22500</v>
      </c>
      <c r="E537" s="35"/>
      <c r="F537" s="35"/>
      <c r="G537" s="35"/>
      <c r="H537" s="35"/>
      <c r="I537" s="35"/>
      <c r="J537" s="35"/>
      <c r="K537" s="35"/>
      <c r="L537" s="35"/>
      <c r="M537" s="35"/>
      <c r="N537" s="48">
        <v>14500</v>
      </c>
      <c r="O537" s="35"/>
      <c r="P537" s="35"/>
      <c r="Q537" s="48"/>
      <c r="R537" s="35"/>
      <c r="S537" s="35"/>
      <c r="T537" s="40"/>
      <c r="U537" s="35"/>
      <c r="V537" s="35"/>
      <c r="W537" s="35"/>
      <c r="X537" s="35"/>
      <c r="Y537" s="35">
        <v>3000</v>
      </c>
      <c r="Z537" s="35"/>
      <c r="AA537" s="48"/>
      <c r="AB537" s="35">
        <v>5000</v>
      </c>
      <c r="AC537" s="35"/>
      <c r="AD537" s="35"/>
      <c r="AE537" s="35"/>
      <c r="AF537" s="35"/>
      <c r="AG537" s="35"/>
      <c r="AH537" s="35"/>
      <c r="AI537" s="35"/>
    </row>
    <row r="538" spans="1:35" x14ac:dyDescent="0.25">
      <c r="A538" s="48">
        <v>2</v>
      </c>
      <c r="B538" s="166" t="s">
        <v>791</v>
      </c>
      <c r="C538" s="166" t="s">
        <v>786</v>
      </c>
      <c r="D538" s="150">
        <f t="shared" si="25"/>
        <v>38000</v>
      </c>
      <c r="E538" s="35"/>
      <c r="F538" s="35"/>
      <c r="G538" s="35"/>
      <c r="H538" s="35"/>
      <c r="I538" s="35"/>
      <c r="J538" s="35"/>
      <c r="K538" s="35">
        <v>25000</v>
      </c>
      <c r="L538" s="35"/>
      <c r="M538" s="35"/>
      <c r="N538" s="48">
        <v>5000</v>
      </c>
      <c r="O538" s="35"/>
      <c r="P538" s="35"/>
      <c r="Q538" s="48"/>
      <c r="R538" s="35"/>
      <c r="S538" s="35"/>
      <c r="T538" s="40"/>
      <c r="U538" s="35">
        <v>3000</v>
      </c>
      <c r="V538" s="35"/>
      <c r="W538" s="35"/>
      <c r="X538" s="35"/>
      <c r="Y538" s="35"/>
      <c r="Z538" s="35"/>
      <c r="AA538" s="48"/>
      <c r="AB538" s="35">
        <v>5000</v>
      </c>
      <c r="AC538" s="35"/>
      <c r="AD538" s="35"/>
      <c r="AE538" s="35"/>
      <c r="AF538" s="35"/>
      <c r="AG538" s="35"/>
      <c r="AH538" s="35"/>
      <c r="AI538" s="35"/>
    </row>
    <row r="539" spans="1:35" ht="15.75" x14ac:dyDescent="0.25">
      <c r="A539" s="48">
        <v>3</v>
      </c>
      <c r="B539" s="166" t="s">
        <v>792</v>
      </c>
      <c r="C539" s="166" t="s">
        <v>787</v>
      </c>
      <c r="D539" s="150">
        <f t="shared" si="25"/>
        <v>15500</v>
      </c>
      <c r="E539" s="35"/>
      <c r="F539" s="35"/>
      <c r="G539" s="35"/>
      <c r="H539" s="35"/>
      <c r="I539" s="35"/>
      <c r="J539" s="35"/>
      <c r="K539" s="35"/>
      <c r="L539" s="165"/>
      <c r="M539" s="35"/>
      <c r="N539" s="48">
        <v>10500</v>
      </c>
      <c r="O539" s="35"/>
      <c r="P539" s="35"/>
      <c r="Q539" s="48"/>
      <c r="R539" s="35"/>
      <c r="S539" s="35"/>
      <c r="T539" s="40"/>
      <c r="U539" s="35"/>
      <c r="V539" s="35"/>
      <c r="W539" s="35"/>
      <c r="X539" s="35"/>
      <c r="Y539" s="35"/>
      <c r="Z539" s="35"/>
      <c r="AA539" s="48"/>
      <c r="AB539" s="35">
        <v>5000</v>
      </c>
      <c r="AC539" s="35"/>
      <c r="AD539" s="35"/>
      <c r="AE539" s="35"/>
      <c r="AF539" s="35"/>
      <c r="AG539" s="35"/>
      <c r="AH539" s="35"/>
      <c r="AI539" s="35"/>
    </row>
    <row r="540" spans="1:35" x14ac:dyDescent="0.25">
      <c r="A540" s="48">
        <v>4</v>
      </c>
      <c r="B540" s="166" t="s">
        <v>793</v>
      </c>
      <c r="C540" s="166" t="s">
        <v>788</v>
      </c>
      <c r="D540" s="150">
        <f t="shared" si="25"/>
        <v>18000</v>
      </c>
      <c r="E540" s="35"/>
      <c r="F540" s="35"/>
      <c r="G540" s="35"/>
      <c r="H540" s="35"/>
      <c r="I540" s="35"/>
      <c r="J540" s="35"/>
      <c r="K540" s="35"/>
      <c r="L540" s="35"/>
      <c r="M540" s="35"/>
      <c r="N540" s="48"/>
      <c r="O540" s="35"/>
      <c r="P540" s="35"/>
      <c r="Q540" s="48"/>
      <c r="R540" s="35"/>
      <c r="S540" s="35"/>
      <c r="T540" s="40"/>
      <c r="U540" s="35">
        <v>13000</v>
      </c>
      <c r="V540" s="35"/>
      <c r="W540" s="35"/>
      <c r="X540" s="35"/>
      <c r="Y540" s="35"/>
      <c r="Z540" s="35"/>
      <c r="AA540" s="48"/>
      <c r="AB540" s="35">
        <v>5000</v>
      </c>
      <c r="AC540" s="35"/>
      <c r="AD540" s="35"/>
      <c r="AE540" s="35"/>
      <c r="AF540" s="35"/>
      <c r="AG540" s="35"/>
      <c r="AH540" s="35"/>
      <c r="AI540" s="35"/>
    </row>
    <row r="541" spans="1:35" x14ac:dyDescent="0.25">
      <c r="A541" s="48">
        <v>5</v>
      </c>
      <c r="B541" s="166" t="s">
        <v>794</v>
      </c>
      <c r="C541" s="166" t="s">
        <v>789</v>
      </c>
      <c r="D541" s="150">
        <f t="shared" si="25"/>
        <v>23700</v>
      </c>
      <c r="E541" s="35"/>
      <c r="F541" s="35"/>
      <c r="G541" s="35"/>
      <c r="H541" s="35"/>
      <c r="I541" s="35"/>
      <c r="J541" s="35"/>
      <c r="K541" s="35"/>
      <c r="L541" s="35"/>
      <c r="M541" s="35"/>
      <c r="N541" s="48">
        <v>6700</v>
      </c>
      <c r="O541" s="35"/>
      <c r="P541" s="35"/>
      <c r="Q541" s="48"/>
      <c r="R541" s="35"/>
      <c r="S541" s="35"/>
      <c r="T541" s="40"/>
      <c r="U541" s="35"/>
      <c r="V541" s="35"/>
      <c r="W541" s="35"/>
      <c r="X541" s="35"/>
      <c r="Y541" s="35">
        <v>12000</v>
      </c>
      <c r="Z541" s="35"/>
      <c r="AA541" s="48"/>
      <c r="AB541" s="35">
        <v>5000</v>
      </c>
      <c r="AC541" s="35"/>
      <c r="AD541" s="35"/>
      <c r="AE541" s="35"/>
      <c r="AF541" s="35"/>
      <c r="AG541" s="35"/>
      <c r="AH541" s="35"/>
      <c r="AI541" s="35"/>
    </row>
    <row r="542" spans="1:35" x14ac:dyDescent="0.25">
      <c r="A542" s="48">
        <v>6</v>
      </c>
      <c r="B542" s="166" t="s">
        <v>666</v>
      </c>
      <c r="C542" s="166" t="s">
        <v>667</v>
      </c>
      <c r="D542" s="150">
        <f t="shared" si="25"/>
        <v>1000</v>
      </c>
      <c r="E542" s="35"/>
      <c r="F542" s="35"/>
      <c r="G542" s="35"/>
      <c r="H542" s="35"/>
      <c r="I542" s="35"/>
      <c r="J542" s="35"/>
      <c r="K542" s="35"/>
      <c r="L542" s="35"/>
      <c r="M542" s="35"/>
      <c r="N542" s="48"/>
      <c r="O542" s="35"/>
      <c r="P542" s="35"/>
      <c r="Q542" s="48">
        <v>1000</v>
      </c>
      <c r="R542" s="35"/>
      <c r="S542" s="35"/>
      <c r="T542" s="40"/>
      <c r="U542" s="35"/>
      <c r="V542" s="35"/>
      <c r="W542" s="35"/>
      <c r="X542" s="35"/>
      <c r="Y542" s="35"/>
      <c r="Z542" s="35"/>
      <c r="AA542" s="48"/>
      <c r="AB542" s="35"/>
      <c r="AC542" s="35"/>
      <c r="AD542" s="35"/>
      <c r="AE542" s="35"/>
      <c r="AF542" s="35"/>
      <c r="AG542" s="35"/>
      <c r="AH542" s="35"/>
      <c r="AI542" s="35"/>
    </row>
    <row r="543" spans="1:35" x14ac:dyDescent="0.25">
      <c r="A543" s="48">
        <v>7</v>
      </c>
      <c r="B543" s="166" t="s">
        <v>668</v>
      </c>
      <c r="C543" s="166" t="s">
        <v>669</v>
      </c>
      <c r="D543" s="150">
        <f t="shared" si="25"/>
        <v>2000</v>
      </c>
      <c r="E543" s="35"/>
      <c r="F543" s="35"/>
      <c r="G543" s="35"/>
      <c r="H543" s="35"/>
      <c r="I543" s="35"/>
      <c r="J543" s="35"/>
      <c r="K543" s="35"/>
      <c r="L543" s="35"/>
      <c r="M543" s="35"/>
      <c r="N543" s="137"/>
      <c r="O543" s="35"/>
      <c r="P543" s="35"/>
      <c r="Q543" s="48">
        <v>2000</v>
      </c>
      <c r="R543" s="35"/>
      <c r="S543" s="35"/>
      <c r="T543" s="40"/>
      <c r="U543" s="35"/>
      <c r="V543" s="35"/>
      <c r="W543" s="35"/>
      <c r="X543" s="35"/>
      <c r="Y543" s="35"/>
      <c r="Z543" s="35"/>
      <c r="AA543" s="48"/>
      <c r="AB543" s="35"/>
      <c r="AC543" s="35"/>
      <c r="AD543" s="35"/>
      <c r="AE543" s="35"/>
      <c r="AF543" s="35"/>
      <c r="AG543" s="35"/>
      <c r="AH543" s="35"/>
      <c r="AI543" s="35"/>
    </row>
    <row r="544" spans="1:35" x14ac:dyDescent="0.25">
      <c r="A544" s="48">
        <v>8</v>
      </c>
      <c r="B544" s="166" t="s">
        <v>720</v>
      </c>
      <c r="C544" s="166" t="s">
        <v>719</v>
      </c>
      <c r="D544" s="150">
        <f t="shared" si="25"/>
        <v>0</v>
      </c>
      <c r="E544" s="35"/>
      <c r="F544" s="35"/>
      <c r="G544" s="35"/>
      <c r="H544" s="35"/>
      <c r="I544" s="35"/>
      <c r="J544" s="35"/>
      <c r="K544" s="35"/>
      <c r="L544" s="35"/>
      <c r="M544" s="35"/>
      <c r="N544" s="48"/>
      <c r="O544" s="35"/>
      <c r="P544" s="35"/>
      <c r="Q544" s="48"/>
      <c r="R544" s="35"/>
      <c r="S544" s="35"/>
      <c r="T544" s="40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</row>
    <row r="545" spans="1:35" x14ac:dyDescent="0.25">
      <c r="A545" s="48">
        <v>9</v>
      </c>
      <c r="B545" s="172" t="s">
        <v>796</v>
      </c>
      <c r="C545" s="172" t="s">
        <v>795</v>
      </c>
      <c r="D545" s="150">
        <f t="shared" si="25"/>
        <v>87300</v>
      </c>
      <c r="E545" s="35"/>
      <c r="F545" s="35"/>
      <c r="G545" s="35"/>
      <c r="H545" s="35">
        <v>40000</v>
      </c>
      <c r="I545" s="35"/>
      <c r="J545" s="35"/>
      <c r="K545" s="35"/>
      <c r="L545" s="35"/>
      <c r="M545" s="35"/>
      <c r="N545" s="48">
        <v>23300</v>
      </c>
      <c r="O545" s="35"/>
      <c r="P545" s="35"/>
      <c r="Q545" s="48"/>
      <c r="R545" s="35"/>
      <c r="S545" s="35"/>
      <c r="T545" s="40"/>
      <c r="U545" s="35">
        <v>4000</v>
      </c>
      <c r="V545" s="35"/>
      <c r="W545" s="35"/>
      <c r="X545" s="35"/>
      <c r="Y545" s="35">
        <v>20000</v>
      </c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</row>
    <row r="546" spans="1:35" x14ac:dyDescent="0.25">
      <c r="A546" s="48">
        <v>11</v>
      </c>
      <c r="B546" s="166" t="s">
        <v>648</v>
      </c>
      <c r="C546" s="166" t="s">
        <v>647</v>
      </c>
      <c r="D546" s="150">
        <f t="shared" si="25"/>
        <v>0</v>
      </c>
      <c r="E546" s="35"/>
      <c r="F546" s="35"/>
      <c r="G546" s="35"/>
      <c r="H546" s="35"/>
      <c r="I546" s="35"/>
      <c r="J546" s="35"/>
      <c r="K546" s="35"/>
      <c r="L546" s="35"/>
      <c r="M546" s="35"/>
      <c r="N546" s="48"/>
      <c r="O546" s="35"/>
      <c r="P546" s="35"/>
      <c r="Q546" s="48"/>
      <c r="R546" s="35"/>
      <c r="S546" s="35"/>
      <c r="T546" s="40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</row>
    <row r="547" spans="1:35" x14ac:dyDescent="0.25">
      <c r="A547" s="48">
        <v>12</v>
      </c>
      <c r="B547" s="166" t="s">
        <v>139</v>
      </c>
      <c r="C547" s="166" t="s">
        <v>138</v>
      </c>
      <c r="D547" s="150">
        <f t="shared" si="25"/>
        <v>0</v>
      </c>
      <c r="E547" s="35"/>
      <c r="F547" s="35"/>
      <c r="G547" s="35"/>
      <c r="H547" s="35"/>
      <c r="I547" s="35"/>
      <c r="J547" s="35"/>
      <c r="K547" s="35"/>
      <c r="L547" s="35"/>
      <c r="M547" s="35"/>
      <c r="N547" s="48"/>
      <c r="O547" s="35"/>
      <c r="P547" s="35"/>
      <c r="Q547" s="48"/>
      <c r="R547" s="35"/>
      <c r="S547" s="35"/>
      <c r="T547" s="40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</row>
    <row r="548" spans="1:35" x14ac:dyDescent="0.25">
      <c r="A548" s="48">
        <v>13</v>
      </c>
      <c r="B548" s="166" t="s">
        <v>656</v>
      </c>
      <c r="C548" s="166" t="s">
        <v>655</v>
      </c>
      <c r="D548" s="150">
        <f t="shared" si="25"/>
        <v>0</v>
      </c>
      <c r="E548" s="35"/>
      <c r="F548" s="35"/>
      <c r="G548" s="35"/>
      <c r="H548" s="35"/>
      <c r="I548" s="35"/>
      <c r="J548" s="35"/>
      <c r="K548" s="35"/>
      <c r="L548" s="35"/>
      <c r="M548" s="35"/>
      <c r="N548" s="48"/>
      <c r="O548" s="35"/>
      <c r="P548" s="35"/>
      <c r="Q548" s="48"/>
      <c r="R548" s="35"/>
      <c r="S548" s="35"/>
      <c r="T548" s="40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</row>
    <row r="549" spans="1:35" x14ac:dyDescent="0.25">
      <c r="A549" s="48">
        <v>14</v>
      </c>
      <c r="B549" s="166" t="s">
        <v>133</v>
      </c>
      <c r="C549" s="166" t="s">
        <v>308</v>
      </c>
      <c r="D549" s="150">
        <f t="shared" si="25"/>
        <v>0</v>
      </c>
      <c r="E549" s="35"/>
      <c r="F549" s="35"/>
      <c r="G549" s="35"/>
      <c r="H549" s="35"/>
      <c r="I549" s="35"/>
      <c r="J549" s="35"/>
      <c r="K549" s="35"/>
      <c r="L549" s="35"/>
      <c r="M549" s="35"/>
      <c r="N549" s="48"/>
      <c r="O549" s="35"/>
      <c r="P549" s="35"/>
      <c r="Q549" s="48"/>
      <c r="R549" s="35"/>
      <c r="S549" s="35"/>
      <c r="T549" s="40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</row>
    <row r="550" spans="1:35" x14ac:dyDescent="0.25">
      <c r="A550" s="48">
        <v>15</v>
      </c>
      <c r="B550" s="166" t="s">
        <v>136</v>
      </c>
      <c r="C550" s="166" t="s">
        <v>137</v>
      </c>
      <c r="D550" s="150">
        <f t="shared" si="25"/>
        <v>0</v>
      </c>
      <c r="E550" s="35"/>
      <c r="F550" s="35"/>
      <c r="G550" s="35"/>
      <c r="H550" s="35"/>
      <c r="I550" s="35"/>
      <c r="J550" s="35"/>
      <c r="K550" s="35"/>
      <c r="L550" s="35"/>
      <c r="M550" s="35"/>
      <c r="N550" s="48"/>
      <c r="O550" s="35"/>
      <c r="P550" s="35"/>
      <c r="Q550" s="48"/>
      <c r="R550" s="35"/>
      <c r="S550" s="35"/>
      <c r="T550" s="40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</row>
    <row r="551" spans="1:35" x14ac:dyDescent="0.25">
      <c r="A551" s="48">
        <v>16</v>
      </c>
      <c r="B551" s="166" t="s">
        <v>660</v>
      </c>
      <c r="C551" s="166" t="s">
        <v>659</v>
      </c>
      <c r="D551" s="150">
        <f t="shared" si="25"/>
        <v>0</v>
      </c>
      <c r="E551" s="35"/>
      <c r="F551" s="35"/>
      <c r="G551" s="35"/>
      <c r="H551" s="35"/>
      <c r="I551" s="35"/>
      <c r="J551" s="35"/>
      <c r="K551" s="35"/>
      <c r="L551" s="35"/>
      <c r="M551" s="35"/>
      <c r="N551" s="48"/>
      <c r="O551" s="35"/>
      <c r="P551" s="35"/>
      <c r="Q551" s="48"/>
      <c r="R551" s="35"/>
      <c r="S551" s="35"/>
      <c r="T551" s="40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</row>
    <row r="552" spans="1:35" x14ac:dyDescent="0.25">
      <c r="A552" s="48">
        <v>17</v>
      </c>
      <c r="B552" s="166" t="s">
        <v>549</v>
      </c>
      <c r="C552" s="166" t="s">
        <v>877</v>
      </c>
      <c r="D552" s="150">
        <f t="shared" si="25"/>
        <v>0</v>
      </c>
      <c r="E552" s="35"/>
      <c r="F552" s="35"/>
      <c r="G552" s="35"/>
      <c r="H552" s="35"/>
      <c r="I552" s="35"/>
      <c r="J552" s="35"/>
      <c r="K552" s="35"/>
      <c r="L552" s="35"/>
      <c r="M552" s="35"/>
      <c r="N552" s="48"/>
      <c r="O552" s="35"/>
      <c r="P552" s="35"/>
      <c r="Q552" s="48"/>
      <c r="R552" s="35"/>
      <c r="S552" s="35"/>
      <c r="T552" s="40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</row>
    <row r="553" spans="1:35" x14ac:dyDescent="0.25">
      <c r="A553" s="48">
        <v>18</v>
      </c>
      <c r="B553" s="166" t="s">
        <v>315</v>
      </c>
      <c r="C553" s="166" t="s">
        <v>316</v>
      </c>
      <c r="D553" s="150">
        <f t="shared" si="25"/>
        <v>0</v>
      </c>
      <c r="E553" s="35"/>
      <c r="F553" s="35"/>
      <c r="G553" s="35"/>
      <c r="H553" s="35"/>
      <c r="I553" s="35"/>
      <c r="J553" s="35"/>
      <c r="K553" s="35"/>
      <c r="L553" s="35"/>
      <c r="M553" s="35"/>
      <c r="N553" s="48"/>
      <c r="O553" s="35"/>
      <c r="P553" s="35"/>
      <c r="Q553" s="48"/>
      <c r="R553" s="35"/>
      <c r="S553" s="35"/>
      <c r="T553" s="40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</row>
    <row r="554" spans="1:35" x14ac:dyDescent="0.25">
      <c r="A554" s="48">
        <v>19</v>
      </c>
      <c r="B554" s="166" t="s">
        <v>294</v>
      </c>
      <c r="C554" s="166" t="s">
        <v>292</v>
      </c>
      <c r="D554" s="150">
        <f t="shared" si="25"/>
        <v>5000</v>
      </c>
      <c r="E554" s="35"/>
      <c r="F554" s="35"/>
      <c r="G554" s="35"/>
      <c r="H554" s="35"/>
      <c r="I554" s="35"/>
      <c r="J554" s="35"/>
      <c r="K554" s="35"/>
      <c r="L554" s="35"/>
      <c r="M554" s="35"/>
      <c r="N554" s="48"/>
      <c r="O554" s="35"/>
      <c r="P554" s="35"/>
      <c r="Q554" s="48"/>
      <c r="R554" s="35"/>
      <c r="S554" s="35"/>
      <c r="T554" s="40"/>
      <c r="U554" s="35"/>
      <c r="V554" s="35"/>
      <c r="W554" s="35"/>
      <c r="X554" s="35"/>
      <c r="Y554" s="35"/>
      <c r="Z554" s="35"/>
      <c r="AA554" s="35"/>
      <c r="AB554" s="35">
        <v>5000</v>
      </c>
      <c r="AC554" s="35"/>
      <c r="AD554" s="35"/>
      <c r="AE554" s="35"/>
      <c r="AF554" s="35"/>
      <c r="AG554" s="35"/>
      <c r="AH554" s="35"/>
      <c r="AI554" s="35"/>
    </row>
    <row r="555" spans="1:35" x14ac:dyDescent="0.25">
      <c r="A555" s="48">
        <v>20</v>
      </c>
      <c r="B555" s="166" t="s">
        <v>295</v>
      </c>
      <c r="C555" s="166" t="s">
        <v>293</v>
      </c>
      <c r="D555" s="150">
        <f t="shared" si="25"/>
        <v>5000</v>
      </c>
      <c r="E555" s="35"/>
      <c r="F555" s="35"/>
      <c r="G555" s="35"/>
      <c r="H555" s="35"/>
      <c r="I555" s="35"/>
      <c r="J555" s="35"/>
      <c r="K555" s="35"/>
      <c r="L555" s="35"/>
      <c r="M555" s="35"/>
      <c r="N555" s="48"/>
      <c r="O555" s="35"/>
      <c r="P555" s="35"/>
      <c r="Q555" s="48"/>
      <c r="R555" s="35"/>
      <c r="S555" s="35"/>
      <c r="T555" s="40"/>
      <c r="U555" s="35"/>
      <c r="V555" s="35"/>
      <c r="W555" s="35"/>
      <c r="X555" s="35"/>
      <c r="Y555" s="35"/>
      <c r="Z555" s="35"/>
      <c r="AA555" s="35"/>
      <c r="AB555" s="35">
        <v>5000</v>
      </c>
      <c r="AC555" s="35"/>
      <c r="AD555" s="35"/>
      <c r="AE555" s="35"/>
      <c r="AF555" s="35"/>
      <c r="AG555" s="35"/>
      <c r="AH555" s="35"/>
      <c r="AI555" s="35"/>
    </row>
    <row r="556" spans="1:35" x14ac:dyDescent="0.25">
      <c r="A556" s="48">
        <v>21</v>
      </c>
      <c r="B556" s="166" t="s">
        <v>389</v>
      </c>
      <c r="C556" s="166" t="s">
        <v>388</v>
      </c>
      <c r="D556" s="150">
        <f t="shared" si="25"/>
        <v>0</v>
      </c>
      <c r="E556" s="35"/>
      <c r="F556" s="35"/>
      <c r="G556" s="35"/>
      <c r="H556" s="35"/>
      <c r="I556" s="35"/>
      <c r="J556" s="35"/>
      <c r="K556" s="35"/>
      <c r="L556" s="35"/>
      <c r="M556" s="35"/>
      <c r="N556" s="137"/>
      <c r="O556" s="35"/>
      <c r="P556" s="35"/>
      <c r="Q556" s="48"/>
      <c r="R556" s="35"/>
      <c r="S556" s="35"/>
      <c r="T556" s="40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</row>
    <row r="557" spans="1:35" x14ac:dyDescent="0.25">
      <c r="A557" s="48">
        <v>22</v>
      </c>
      <c r="B557" s="176" t="s">
        <v>860</v>
      </c>
      <c r="C557" s="176" t="s">
        <v>858</v>
      </c>
      <c r="D557" s="150">
        <f t="shared" si="25"/>
        <v>15000</v>
      </c>
      <c r="E557" s="35"/>
      <c r="F557" s="35"/>
      <c r="G557" s="35"/>
      <c r="H557" s="35"/>
      <c r="I557" s="35"/>
      <c r="J557" s="35"/>
      <c r="K557" s="35"/>
      <c r="L557" s="35"/>
      <c r="M557" s="35"/>
      <c r="N557" s="137"/>
      <c r="O557" s="35"/>
      <c r="P557" s="35"/>
      <c r="Q557" s="48"/>
      <c r="R557" s="35"/>
      <c r="S557" s="35"/>
      <c r="T557" s="40"/>
      <c r="U557" s="35"/>
      <c r="V557" s="35">
        <v>15000</v>
      </c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</row>
    <row r="558" spans="1:35" x14ac:dyDescent="0.25">
      <c r="A558" s="48">
        <v>23</v>
      </c>
      <c r="B558" s="176" t="s">
        <v>861</v>
      </c>
      <c r="C558" s="176" t="s">
        <v>859</v>
      </c>
      <c r="D558" s="150">
        <f t="shared" si="25"/>
        <v>12000</v>
      </c>
      <c r="E558" s="35"/>
      <c r="F558" s="35"/>
      <c r="G558" s="35"/>
      <c r="H558" s="35"/>
      <c r="I558" s="35"/>
      <c r="J558" s="35"/>
      <c r="K558" s="35"/>
      <c r="L558" s="35"/>
      <c r="M558" s="35"/>
      <c r="N558" s="137"/>
      <c r="O558" s="35"/>
      <c r="P558" s="35"/>
      <c r="Q558" s="48"/>
      <c r="R558" s="35"/>
      <c r="S558" s="35"/>
      <c r="T558" s="40"/>
      <c r="U558" s="35"/>
      <c r="V558" s="35"/>
      <c r="W558" s="35"/>
      <c r="X558" s="35">
        <v>12000</v>
      </c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</row>
    <row r="559" spans="1:35" x14ac:dyDescent="0.25">
      <c r="A559" s="48">
        <v>24</v>
      </c>
      <c r="B559" s="166" t="s">
        <v>818</v>
      </c>
      <c r="C559" s="166" t="s">
        <v>815</v>
      </c>
      <c r="D559" s="150">
        <f t="shared" si="25"/>
        <v>0</v>
      </c>
      <c r="E559" s="35"/>
      <c r="F559" s="35"/>
      <c r="G559" s="35"/>
      <c r="H559" s="35"/>
      <c r="I559" s="35"/>
      <c r="J559" s="35"/>
      <c r="K559" s="35"/>
      <c r="L559" s="35"/>
      <c r="M559" s="35"/>
      <c r="N559" s="137"/>
      <c r="O559" s="35"/>
      <c r="P559" s="35"/>
      <c r="Q559" s="48"/>
      <c r="R559" s="35"/>
      <c r="S559" s="35"/>
      <c r="T559" s="40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</row>
    <row r="560" spans="1:35" x14ac:dyDescent="0.25">
      <c r="A560" s="48">
        <v>25</v>
      </c>
      <c r="B560" s="166" t="s">
        <v>819</v>
      </c>
      <c r="C560" s="166" t="s">
        <v>816</v>
      </c>
      <c r="D560" s="150">
        <f t="shared" si="25"/>
        <v>2000</v>
      </c>
      <c r="E560" s="35"/>
      <c r="F560" s="35"/>
      <c r="G560" s="35"/>
      <c r="H560" s="35"/>
      <c r="I560" s="35"/>
      <c r="J560" s="35"/>
      <c r="K560" s="35"/>
      <c r="L560" s="35"/>
      <c r="M560" s="35"/>
      <c r="N560" s="137"/>
      <c r="O560" s="35"/>
      <c r="P560" s="35"/>
      <c r="Q560" s="48">
        <v>2000</v>
      </c>
      <c r="R560" s="35"/>
      <c r="S560" s="35"/>
      <c r="T560" s="40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</row>
    <row r="561" spans="1:35" x14ac:dyDescent="0.25">
      <c r="A561" s="48">
        <v>26</v>
      </c>
      <c r="B561" s="166" t="s">
        <v>820</v>
      </c>
      <c r="C561" s="166" t="s">
        <v>817</v>
      </c>
      <c r="D561" s="150">
        <f t="shared" si="25"/>
        <v>0</v>
      </c>
      <c r="E561" s="35"/>
      <c r="F561" s="35"/>
      <c r="G561" s="35"/>
      <c r="H561" s="35"/>
      <c r="I561" s="35"/>
      <c r="J561" s="35"/>
      <c r="K561" s="35"/>
      <c r="L561" s="35"/>
      <c r="M561" s="35"/>
      <c r="N561" s="137"/>
      <c r="O561" s="35"/>
      <c r="P561" s="35"/>
      <c r="Q561" s="48"/>
      <c r="R561" s="35"/>
      <c r="S561" s="35"/>
      <c r="T561" s="40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</row>
    <row r="562" spans="1:35" x14ac:dyDescent="0.25">
      <c r="A562" s="48">
        <v>27</v>
      </c>
      <c r="B562" s="166" t="s">
        <v>164</v>
      </c>
      <c r="C562" s="166" t="s">
        <v>135</v>
      </c>
      <c r="D562" s="150">
        <f t="shared" si="25"/>
        <v>0</v>
      </c>
      <c r="E562" s="35"/>
      <c r="F562" s="35"/>
      <c r="G562" s="35"/>
      <c r="H562" s="35"/>
      <c r="I562" s="35"/>
      <c r="J562" s="35"/>
      <c r="K562" s="35"/>
      <c r="L562" s="35"/>
      <c r="M562" s="35"/>
      <c r="N562" s="137"/>
      <c r="O562" s="35"/>
      <c r="P562" s="35"/>
      <c r="Q562" s="48"/>
      <c r="R562" s="35"/>
      <c r="S562" s="35"/>
      <c r="T562" s="40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</row>
    <row r="563" spans="1:35" x14ac:dyDescent="0.25">
      <c r="A563" s="48">
        <v>28</v>
      </c>
      <c r="B563" s="166" t="s">
        <v>421</v>
      </c>
      <c r="C563" s="166" t="s">
        <v>419</v>
      </c>
      <c r="D563" s="150">
        <f t="shared" si="25"/>
        <v>5000</v>
      </c>
      <c r="E563" s="35"/>
      <c r="F563" s="35"/>
      <c r="G563" s="35"/>
      <c r="H563" s="35"/>
      <c r="I563" s="35"/>
      <c r="J563" s="35"/>
      <c r="K563" s="35"/>
      <c r="L563" s="35"/>
      <c r="M563" s="35"/>
      <c r="N563" s="48"/>
      <c r="O563" s="35"/>
      <c r="P563" s="35"/>
      <c r="Q563" s="48"/>
      <c r="R563" s="35"/>
      <c r="S563" s="35"/>
      <c r="T563" s="40"/>
      <c r="U563" s="35"/>
      <c r="V563" s="35"/>
      <c r="W563" s="35"/>
      <c r="X563" s="35"/>
      <c r="Y563" s="35"/>
      <c r="Z563" s="35"/>
      <c r="AA563" s="35"/>
      <c r="AB563" s="35">
        <v>5000</v>
      </c>
      <c r="AC563" s="35"/>
      <c r="AD563" s="35"/>
      <c r="AE563" s="35"/>
      <c r="AF563" s="35"/>
      <c r="AG563" s="35"/>
      <c r="AH563" s="35"/>
      <c r="AI563" s="35"/>
    </row>
    <row r="564" spans="1:35" x14ac:dyDescent="0.25">
      <c r="A564" s="48">
        <v>29</v>
      </c>
      <c r="B564" s="166" t="s">
        <v>422</v>
      </c>
      <c r="C564" s="166" t="s">
        <v>420</v>
      </c>
      <c r="D564" s="150">
        <f t="shared" si="25"/>
        <v>10000</v>
      </c>
      <c r="E564" s="35"/>
      <c r="F564" s="35"/>
      <c r="G564" s="35"/>
      <c r="H564" s="35"/>
      <c r="I564" s="35"/>
      <c r="J564" s="35"/>
      <c r="K564" s="35"/>
      <c r="L564" s="35"/>
      <c r="M564" s="35"/>
      <c r="N564" s="48"/>
      <c r="O564" s="35"/>
      <c r="P564" s="35"/>
      <c r="Q564" s="48"/>
      <c r="R564" s="35"/>
      <c r="S564" s="35"/>
      <c r="T564" s="40"/>
      <c r="U564" s="35"/>
      <c r="V564" s="35"/>
      <c r="W564" s="35"/>
      <c r="X564" s="35"/>
      <c r="Y564" s="35"/>
      <c r="Z564" s="35">
        <v>5000</v>
      </c>
      <c r="AA564" s="35"/>
      <c r="AB564" s="35">
        <v>5000</v>
      </c>
      <c r="AC564" s="35"/>
      <c r="AD564" s="35"/>
      <c r="AE564" s="35"/>
      <c r="AF564" s="35"/>
      <c r="AG564" s="35"/>
      <c r="AH564" s="35"/>
      <c r="AI564" s="35"/>
    </row>
    <row r="565" spans="1:35" x14ac:dyDescent="0.25">
      <c r="A565" s="48">
        <v>30</v>
      </c>
      <c r="B565" s="166" t="s">
        <v>165</v>
      </c>
      <c r="C565" s="166" t="s">
        <v>134</v>
      </c>
      <c r="D565" s="150">
        <f t="shared" si="25"/>
        <v>0</v>
      </c>
      <c r="E565" s="35"/>
      <c r="F565" s="35"/>
      <c r="G565" s="35"/>
      <c r="H565" s="35"/>
      <c r="I565" s="35"/>
      <c r="J565" s="35"/>
      <c r="K565" s="35"/>
      <c r="L565" s="35"/>
      <c r="M565" s="35"/>
      <c r="N565" s="48"/>
      <c r="O565" s="35"/>
      <c r="P565" s="35"/>
      <c r="Q565" s="48"/>
      <c r="R565" s="35"/>
      <c r="S565" s="35"/>
      <c r="T565" s="40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</row>
    <row r="566" spans="1:35" x14ac:dyDescent="0.25">
      <c r="A566" s="48">
        <v>31</v>
      </c>
      <c r="B566" s="166" t="s">
        <v>549</v>
      </c>
      <c r="C566" s="166" t="s">
        <v>548</v>
      </c>
      <c r="D566" s="150">
        <f t="shared" si="25"/>
        <v>43000</v>
      </c>
      <c r="E566" s="35"/>
      <c r="F566" s="35"/>
      <c r="G566" s="35">
        <v>25000</v>
      </c>
      <c r="H566" s="35">
        <v>15000</v>
      </c>
      <c r="I566" s="35"/>
      <c r="J566" s="35"/>
      <c r="K566" s="35"/>
      <c r="L566" s="35"/>
      <c r="M566" s="35"/>
      <c r="N566" s="48">
        <v>3000</v>
      </c>
      <c r="O566" s="35"/>
      <c r="P566" s="35"/>
      <c r="Q566" s="48"/>
      <c r="R566" s="35"/>
      <c r="S566" s="35"/>
      <c r="T566" s="40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</row>
    <row r="567" spans="1:35" x14ac:dyDescent="0.25">
      <c r="A567" s="48">
        <v>32</v>
      </c>
      <c r="B567" s="166" t="s">
        <v>539</v>
      </c>
      <c r="C567" s="166" t="s">
        <v>538</v>
      </c>
      <c r="D567" s="150">
        <f t="shared" si="25"/>
        <v>0</v>
      </c>
      <c r="E567" s="35"/>
      <c r="F567" s="35"/>
      <c r="G567" s="35"/>
      <c r="H567" s="35"/>
      <c r="I567" s="35"/>
      <c r="J567" s="35"/>
      <c r="K567" s="35"/>
      <c r="L567" s="35"/>
      <c r="M567" s="35"/>
      <c r="N567" s="48"/>
      <c r="O567" s="35"/>
      <c r="P567" s="35"/>
      <c r="Q567" s="48"/>
      <c r="R567" s="35"/>
      <c r="S567" s="35"/>
      <c r="T567" s="40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</row>
    <row r="568" spans="1:35" x14ac:dyDescent="0.25">
      <c r="A568" s="48">
        <v>33</v>
      </c>
      <c r="B568" s="166" t="s">
        <v>904</v>
      </c>
      <c r="C568" s="166" t="s">
        <v>900</v>
      </c>
      <c r="D568" s="150">
        <f t="shared" si="25"/>
        <v>3000</v>
      </c>
      <c r="E568" s="35"/>
      <c r="F568" s="35"/>
      <c r="G568" s="35"/>
      <c r="H568" s="35"/>
      <c r="I568" s="35"/>
      <c r="J568" s="35"/>
      <c r="K568" s="35"/>
      <c r="L568" s="35"/>
      <c r="M568" s="35"/>
      <c r="N568" s="48"/>
      <c r="O568" s="35"/>
      <c r="P568" s="35"/>
      <c r="Q568" s="48"/>
      <c r="R568" s="35"/>
      <c r="S568" s="35"/>
      <c r="T568" s="40"/>
      <c r="U568" s="35"/>
      <c r="V568" s="35"/>
      <c r="W568" s="35"/>
      <c r="X568" s="35">
        <v>3000</v>
      </c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</row>
    <row r="569" spans="1:35" x14ac:dyDescent="0.25">
      <c r="A569" s="48">
        <v>34</v>
      </c>
      <c r="B569" s="166" t="s">
        <v>905</v>
      </c>
      <c r="C569" s="166" t="s">
        <v>901</v>
      </c>
      <c r="D569" s="150">
        <f t="shared" si="25"/>
        <v>3000</v>
      </c>
      <c r="E569" s="35"/>
      <c r="F569" s="35"/>
      <c r="G569" s="35"/>
      <c r="H569" s="35"/>
      <c r="I569" s="35"/>
      <c r="J569" s="35"/>
      <c r="K569" s="35"/>
      <c r="L569" s="35"/>
      <c r="M569" s="35"/>
      <c r="N569" s="48"/>
      <c r="O569" s="35"/>
      <c r="P569" s="35"/>
      <c r="Q569" s="48"/>
      <c r="R569" s="35"/>
      <c r="S569" s="35"/>
      <c r="T569" s="40"/>
      <c r="U569" s="35"/>
      <c r="V569" s="35"/>
      <c r="W569" s="35"/>
      <c r="X569" s="35">
        <v>3000</v>
      </c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</row>
    <row r="570" spans="1:35" x14ac:dyDescent="0.25">
      <c r="A570" s="48">
        <v>35</v>
      </c>
      <c r="B570" s="166" t="s">
        <v>906</v>
      </c>
      <c r="C570" s="166" t="s">
        <v>902</v>
      </c>
      <c r="D570" s="150">
        <f t="shared" si="25"/>
        <v>4600</v>
      </c>
      <c r="E570" s="35"/>
      <c r="F570" s="35"/>
      <c r="G570" s="35"/>
      <c r="H570" s="35"/>
      <c r="I570" s="35"/>
      <c r="J570" s="35"/>
      <c r="K570" s="35"/>
      <c r="L570" s="35"/>
      <c r="M570" s="35"/>
      <c r="N570" s="48"/>
      <c r="O570" s="35"/>
      <c r="P570" s="35"/>
      <c r="Q570" s="48"/>
      <c r="R570" s="35"/>
      <c r="S570" s="35"/>
      <c r="T570" s="40"/>
      <c r="U570" s="35"/>
      <c r="V570" s="35"/>
      <c r="W570" s="35"/>
      <c r="X570" s="35">
        <v>4600</v>
      </c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</row>
    <row r="571" spans="1:35" x14ac:dyDescent="0.25">
      <c r="A571" s="48">
        <v>36</v>
      </c>
      <c r="B571" s="166" t="s">
        <v>907</v>
      </c>
      <c r="C571" s="166" t="s">
        <v>903</v>
      </c>
      <c r="D571" s="150">
        <f t="shared" si="25"/>
        <v>2400</v>
      </c>
      <c r="E571" s="35"/>
      <c r="F571" s="35"/>
      <c r="G571" s="35"/>
      <c r="H571" s="35"/>
      <c r="I571" s="35"/>
      <c r="J571" s="35"/>
      <c r="K571" s="35"/>
      <c r="L571" s="35"/>
      <c r="M571" s="35"/>
      <c r="N571" s="48"/>
      <c r="O571" s="35"/>
      <c r="P571" s="35"/>
      <c r="Q571" s="48"/>
      <c r="R571" s="35"/>
      <c r="S571" s="35"/>
      <c r="T571" s="40"/>
      <c r="U571" s="35"/>
      <c r="V571" s="35"/>
      <c r="W571" s="35"/>
      <c r="X571" s="35">
        <v>2400</v>
      </c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</row>
    <row r="572" spans="1:35" x14ac:dyDescent="0.25">
      <c r="A572" s="48">
        <v>37</v>
      </c>
      <c r="B572" s="166" t="s">
        <v>579</v>
      </c>
      <c r="C572" s="166" t="s">
        <v>578</v>
      </c>
      <c r="D572" s="150">
        <f t="shared" si="25"/>
        <v>0</v>
      </c>
      <c r="E572" s="35"/>
      <c r="F572" s="35"/>
      <c r="G572" s="35"/>
      <c r="H572" s="35"/>
      <c r="I572" s="35"/>
      <c r="J572" s="35"/>
      <c r="K572" s="35"/>
      <c r="L572" s="35"/>
      <c r="M572" s="35"/>
      <c r="N572" s="137"/>
      <c r="O572" s="35"/>
      <c r="P572" s="35"/>
      <c r="Q572" s="48"/>
      <c r="R572" s="35"/>
      <c r="S572" s="35"/>
      <c r="T572" s="40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</row>
    <row r="573" spans="1:35" x14ac:dyDescent="0.25">
      <c r="A573" s="48">
        <v>38</v>
      </c>
      <c r="B573" s="166" t="s">
        <v>322</v>
      </c>
      <c r="C573" s="166" t="s">
        <v>321</v>
      </c>
      <c r="D573" s="150">
        <f t="shared" si="25"/>
        <v>22000</v>
      </c>
      <c r="E573" s="35"/>
      <c r="F573" s="35"/>
      <c r="G573" s="35"/>
      <c r="H573" s="35"/>
      <c r="I573" s="35"/>
      <c r="J573" s="35"/>
      <c r="K573" s="35"/>
      <c r="L573" s="35"/>
      <c r="M573" s="35"/>
      <c r="N573" s="48">
        <v>17000</v>
      </c>
      <c r="O573" s="35"/>
      <c r="P573" s="35"/>
      <c r="Q573" s="48"/>
      <c r="R573" s="35"/>
      <c r="S573" s="35"/>
      <c r="T573" s="40"/>
      <c r="U573" s="35"/>
      <c r="V573" s="35"/>
      <c r="W573" s="35"/>
      <c r="X573" s="35"/>
      <c r="Y573" s="35"/>
      <c r="Z573" s="35"/>
      <c r="AA573" s="35"/>
      <c r="AB573" s="35">
        <v>5000</v>
      </c>
      <c r="AC573" s="35"/>
      <c r="AD573" s="35"/>
      <c r="AE573" s="35"/>
      <c r="AF573" s="35"/>
      <c r="AG573" s="35"/>
      <c r="AH573" s="35"/>
      <c r="AI573" s="35"/>
    </row>
    <row r="574" spans="1:35" x14ac:dyDescent="0.25">
      <c r="A574" s="48">
        <v>39</v>
      </c>
      <c r="B574" s="176" t="s">
        <v>933</v>
      </c>
      <c r="C574" s="176" t="s">
        <v>932</v>
      </c>
      <c r="D574" s="150">
        <f t="shared" si="25"/>
        <v>0</v>
      </c>
      <c r="E574" s="35"/>
      <c r="F574" s="35"/>
      <c r="G574" s="35"/>
      <c r="H574" s="35"/>
      <c r="I574" s="35"/>
      <c r="J574" s="35"/>
      <c r="K574" s="35"/>
      <c r="L574" s="35"/>
      <c r="M574" s="35"/>
      <c r="N574" s="48"/>
      <c r="O574" s="35"/>
      <c r="P574" s="35"/>
      <c r="Q574" s="48"/>
      <c r="R574" s="35"/>
      <c r="S574" s="35"/>
      <c r="T574" s="40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</row>
    <row r="575" spans="1:35" x14ac:dyDescent="0.25">
      <c r="A575" s="48">
        <v>40</v>
      </c>
      <c r="B575" s="166" t="s">
        <v>132</v>
      </c>
      <c r="C575" s="166" t="s">
        <v>131</v>
      </c>
      <c r="D575" s="150">
        <f t="shared" si="25"/>
        <v>0</v>
      </c>
      <c r="E575" s="35"/>
      <c r="F575" s="35"/>
      <c r="G575" s="35"/>
      <c r="H575" s="35"/>
      <c r="I575" s="35"/>
      <c r="J575" s="35"/>
      <c r="K575" s="35"/>
      <c r="L575" s="35"/>
      <c r="M575" s="35"/>
      <c r="N575" s="48"/>
      <c r="O575" s="35"/>
      <c r="P575" s="35"/>
      <c r="Q575" s="35"/>
      <c r="R575" s="35"/>
      <c r="S575" s="35"/>
      <c r="T575" s="40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</row>
    <row r="576" spans="1:35" x14ac:dyDescent="0.25">
      <c r="A576" s="48">
        <v>41</v>
      </c>
      <c r="B576" s="166" t="s">
        <v>136</v>
      </c>
      <c r="C576" s="166" t="s">
        <v>301</v>
      </c>
      <c r="D576" s="150">
        <f t="shared" si="25"/>
        <v>0</v>
      </c>
      <c r="E576" s="35"/>
      <c r="F576" s="35"/>
      <c r="G576" s="35"/>
      <c r="H576" s="35"/>
      <c r="I576" s="35"/>
      <c r="J576" s="35"/>
      <c r="K576" s="35"/>
      <c r="L576" s="35"/>
      <c r="M576" s="35"/>
      <c r="N576" s="48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</row>
    <row r="577" spans="1:35" x14ac:dyDescent="0.25">
      <c r="A577" s="48">
        <v>42</v>
      </c>
      <c r="B577" s="166" t="s">
        <v>683</v>
      </c>
      <c r="C577" s="166" t="s">
        <v>682</v>
      </c>
      <c r="D577" s="150">
        <f t="shared" si="25"/>
        <v>0</v>
      </c>
      <c r="E577" s="35"/>
      <c r="F577" s="35"/>
      <c r="G577" s="35"/>
      <c r="H577" s="35"/>
      <c r="I577" s="35"/>
      <c r="J577" s="35"/>
      <c r="K577" s="35"/>
      <c r="L577" s="35"/>
      <c r="M577" s="35"/>
      <c r="N577" s="48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</row>
    <row r="578" spans="1:35" x14ac:dyDescent="0.25">
      <c r="A578" s="198" t="s">
        <v>142</v>
      </c>
      <c r="B578" s="198"/>
      <c r="C578" s="198"/>
      <c r="D578" s="149">
        <f t="shared" ref="D578:AI578" si="26">+D536+D495+D336+D303+D144+D101+D54+D22+D3</f>
        <v>11399888</v>
      </c>
      <c r="E578" s="149">
        <f t="shared" si="26"/>
        <v>261000</v>
      </c>
      <c r="F578" s="149">
        <f t="shared" si="26"/>
        <v>0</v>
      </c>
      <c r="G578" s="149">
        <f t="shared" si="26"/>
        <v>172290</v>
      </c>
      <c r="H578" s="149">
        <f t="shared" si="26"/>
        <v>405788</v>
      </c>
      <c r="I578" s="149">
        <f t="shared" si="26"/>
        <v>301020</v>
      </c>
      <c r="J578" s="149">
        <f t="shared" si="26"/>
        <v>402002</v>
      </c>
      <c r="K578" s="149">
        <f t="shared" si="26"/>
        <v>704144</v>
      </c>
      <c r="L578" s="149">
        <f t="shared" si="26"/>
        <v>433550</v>
      </c>
      <c r="M578" s="149">
        <f t="shared" si="26"/>
        <v>760840</v>
      </c>
      <c r="N578" s="149">
        <f t="shared" si="26"/>
        <v>728700</v>
      </c>
      <c r="O578" s="149">
        <f t="shared" si="26"/>
        <v>584494</v>
      </c>
      <c r="P578" s="149">
        <f t="shared" si="26"/>
        <v>503998</v>
      </c>
      <c r="Q578" s="149">
        <f t="shared" si="26"/>
        <v>165400</v>
      </c>
      <c r="R578" s="149">
        <f t="shared" si="26"/>
        <v>0</v>
      </c>
      <c r="S578" s="149">
        <f t="shared" si="26"/>
        <v>0</v>
      </c>
      <c r="T578" s="149">
        <f t="shared" si="26"/>
        <v>0</v>
      </c>
      <c r="U578" s="149">
        <f t="shared" si="26"/>
        <v>314022</v>
      </c>
      <c r="V578" s="149">
        <f t="shared" si="26"/>
        <v>248012</v>
      </c>
      <c r="W578" s="149">
        <f t="shared" si="26"/>
        <v>408624</v>
      </c>
      <c r="X578" s="149">
        <f t="shared" si="26"/>
        <v>407136</v>
      </c>
      <c r="Y578" s="149">
        <f t="shared" si="26"/>
        <v>498206</v>
      </c>
      <c r="Z578" s="149">
        <f t="shared" si="26"/>
        <v>485093</v>
      </c>
      <c r="AA578" s="149">
        <f t="shared" si="26"/>
        <v>364590</v>
      </c>
      <c r="AB578" s="149">
        <f t="shared" si="26"/>
        <v>528780</v>
      </c>
      <c r="AC578" s="149">
        <f t="shared" si="26"/>
        <v>508570</v>
      </c>
      <c r="AD578" s="149">
        <f t="shared" si="26"/>
        <v>614700</v>
      </c>
      <c r="AE578" s="149">
        <f t="shared" si="26"/>
        <v>486980</v>
      </c>
      <c r="AF578" s="149">
        <f t="shared" si="26"/>
        <v>414752</v>
      </c>
      <c r="AG578" s="149">
        <f t="shared" si="26"/>
        <v>265500</v>
      </c>
      <c r="AH578" s="149">
        <f t="shared" si="26"/>
        <v>281198</v>
      </c>
      <c r="AI578" s="149">
        <f t="shared" si="26"/>
        <v>150499</v>
      </c>
    </row>
  </sheetData>
  <autoFilter ref="A2:AI578" xr:uid="{00000000-0009-0000-0000-000005000000}"/>
  <mergeCells count="2">
    <mergeCell ref="A1:AF1"/>
    <mergeCell ref="A578:C578"/>
  </mergeCells>
  <conditionalFormatting sqref="B13">
    <cfRule type="duplicateValues" dxfId="3268" priority="3953"/>
    <cfRule type="duplicateValues" dxfId="3267" priority="3956"/>
    <cfRule type="duplicateValues" dxfId="3266" priority="3957"/>
    <cfRule type="duplicateValues" dxfId="3265" priority="3965"/>
    <cfRule type="duplicateValues" dxfId="3264" priority="3963"/>
    <cfRule type="duplicateValues" dxfId="3263" priority="3958"/>
    <cfRule type="duplicateValues" dxfId="3262" priority="3959"/>
    <cfRule type="duplicateValues" dxfId="3261" priority="3955"/>
    <cfRule type="duplicateValues" dxfId="3260" priority="3960"/>
    <cfRule type="duplicateValues" dxfId="3259" priority="3954"/>
    <cfRule type="duplicateValues" dxfId="3258" priority="3961"/>
    <cfRule type="duplicateValues" dxfId="3257" priority="3962"/>
    <cfRule type="duplicateValues" dxfId="3256" priority="3952"/>
    <cfRule type="duplicateValues" dxfId="3255" priority="3951"/>
    <cfRule type="duplicateValues" dxfId="3254" priority="3964"/>
    <cfRule type="duplicateValues" dxfId="3253" priority="3948"/>
    <cfRule type="duplicateValues" dxfId="3252" priority="3949"/>
    <cfRule type="duplicateValues" dxfId="3251" priority="3950"/>
  </conditionalFormatting>
  <conditionalFormatting sqref="B14">
    <cfRule type="duplicateValues" dxfId="3250" priority="3670"/>
    <cfRule type="duplicateValues" dxfId="3249" priority="3671"/>
    <cfRule type="duplicateValues" dxfId="3248" priority="3672"/>
    <cfRule type="duplicateValues" dxfId="3247" priority="3673"/>
    <cfRule type="duplicateValues" dxfId="3246" priority="3674"/>
    <cfRule type="duplicateValues" dxfId="3245" priority="3675"/>
    <cfRule type="duplicateValues" dxfId="3244" priority="3677"/>
    <cfRule type="duplicateValues" dxfId="3243" priority="3669"/>
    <cfRule type="duplicateValues" dxfId="3242" priority="3676"/>
    <cfRule type="duplicateValues" dxfId="3241" priority="3685"/>
    <cfRule type="duplicateValues" dxfId="3240" priority="3678"/>
    <cfRule type="duplicateValues" dxfId="3239" priority="3679"/>
    <cfRule type="duplicateValues" dxfId="3238" priority="3680"/>
    <cfRule type="duplicateValues" dxfId="3237" priority="3681"/>
    <cfRule type="duplicateValues" dxfId="3236" priority="3682"/>
    <cfRule type="duplicateValues" dxfId="3235" priority="3683"/>
    <cfRule type="duplicateValues" dxfId="3234" priority="3684"/>
    <cfRule type="duplicateValues" dxfId="3233" priority="3668"/>
  </conditionalFormatting>
  <conditionalFormatting sqref="C4">
    <cfRule type="duplicateValues" dxfId="3232" priority="6408"/>
    <cfRule type="duplicateValues" dxfId="3231" priority="12148"/>
    <cfRule type="duplicateValues" dxfId="3230" priority="6405"/>
    <cfRule type="duplicateValues" dxfId="3229" priority="6406"/>
  </conditionalFormatting>
  <conditionalFormatting sqref="C5">
    <cfRule type="duplicateValues" dxfId="3228" priority="627"/>
  </conditionalFormatting>
  <conditionalFormatting sqref="C6">
    <cfRule type="duplicateValues" dxfId="3227" priority="6081"/>
    <cfRule type="duplicateValues" dxfId="3226" priority="6082"/>
    <cfRule type="duplicateValues" dxfId="3225" priority="6083"/>
    <cfRule type="duplicateValues" dxfId="3224" priority="6084"/>
    <cfRule type="duplicateValues" dxfId="3223" priority="6085"/>
    <cfRule type="duplicateValues" dxfId="3222" priority="6079"/>
    <cfRule type="duplicateValues" dxfId="3221" priority="6080"/>
  </conditionalFormatting>
  <conditionalFormatting sqref="C7">
    <cfRule type="duplicateValues" dxfId="3220" priority="125"/>
  </conditionalFormatting>
  <conditionalFormatting sqref="C8:C9">
    <cfRule type="duplicateValues" dxfId="3219" priority="64"/>
    <cfRule type="duplicateValues" dxfId="3218" priority="65"/>
  </conditionalFormatting>
  <conditionalFormatting sqref="C10">
    <cfRule type="duplicateValues" dxfId="3217" priority="5021"/>
    <cfRule type="duplicateValues" dxfId="3216" priority="5018"/>
    <cfRule type="duplicateValues" dxfId="3215" priority="5017"/>
    <cfRule type="duplicateValues" dxfId="3214" priority="5022"/>
    <cfRule type="duplicateValues" dxfId="3213" priority="5027"/>
    <cfRule type="duplicateValues" dxfId="3212" priority="5023"/>
    <cfRule type="duplicateValues" dxfId="3211" priority="5025"/>
    <cfRule type="duplicateValues" dxfId="3210" priority="5019"/>
    <cfRule type="duplicateValues" dxfId="3209" priority="5024"/>
    <cfRule type="duplicateValues" dxfId="3208" priority="5020"/>
    <cfRule type="duplicateValues" dxfId="3207" priority="5029"/>
    <cfRule type="duplicateValues" dxfId="3206" priority="5026"/>
    <cfRule type="duplicateValues" dxfId="3205" priority="5028"/>
  </conditionalFormatting>
  <conditionalFormatting sqref="C11">
    <cfRule type="duplicateValues" dxfId="3204" priority="907"/>
    <cfRule type="duplicateValues" dxfId="3203" priority="906"/>
    <cfRule type="duplicateValues" dxfId="3202" priority="905"/>
  </conditionalFormatting>
  <conditionalFormatting sqref="C12">
    <cfRule type="duplicateValues" dxfId="3201" priority="4625"/>
    <cfRule type="duplicateValues" dxfId="3200" priority="4626"/>
    <cfRule type="duplicateValues" dxfId="3199" priority="4627"/>
    <cfRule type="duplicateValues" dxfId="3198" priority="4619"/>
    <cfRule type="duplicateValues" dxfId="3197" priority="4617"/>
    <cfRule type="duplicateValues" dxfId="3196" priority="4618"/>
    <cfRule type="duplicateValues" dxfId="3195" priority="4614"/>
    <cfRule type="duplicateValues" dxfId="3194" priority="4615"/>
    <cfRule type="duplicateValues" dxfId="3193" priority="4620"/>
    <cfRule type="duplicateValues" dxfId="3192" priority="4621"/>
    <cfRule type="duplicateValues" dxfId="3191" priority="4616"/>
    <cfRule type="duplicateValues" dxfId="3190" priority="4623"/>
    <cfRule type="duplicateValues" dxfId="3189" priority="4624"/>
    <cfRule type="duplicateValues" dxfId="3188" priority="4622"/>
  </conditionalFormatting>
  <conditionalFormatting sqref="C13">
    <cfRule type="duplicateValues" dxfId="3187" priority="3971"/>
    <cfRule type="duplicateValues" dxfId="3186" priority="3972"/>
    <cfRule type="duplicateValues" dxfId="3185" priority="3973"/>
    <cfRule type="duplicateValues" dxfId="3184" priority="3974"/>
    <cfRule type="duplicateValues" dxfId="3183" priority="3976"/>
    <cfRule type="duplicateValues" dxfId="3182" priority="3977"/>
    <cfRule type="duplicateValues" dxfId="3181" priority="3978"/>
    <cfRule type="duplicateValues" dxfId="3180" priority="3979"/>
    <cfRule type="duplicateValues" dxfId="3179" priority="3980"/>
    <cfRule type="duplicateValues" dxfId="3178" priority="3981"/>
    <cfRule type="duplicateValues" dxfId="3177" priority="3982"/>
    <cfRule type="duplicateValues" dxfId="3176" priority="3983"/>
    <cfRule type="duplicateValues" dxfId="3175" priority="3984"/>
    <cfRule type="duplicateValues" dxfId="3174" priority="3985"/>
    <cfRule type="duplicateValues" dxfId="3173" priority="3986"/>
    <cfRule type="duplicateValues" dxfId="3172" priority="3987"/>
    <cfRule type="duplicateValues" dxfId="3171" priority="3988"/>
    <cfRule type="duplicateValues" dxfId="3170" priority="3989"/>
    <cfRule type="duplicateValues" dxfId="3169" priority="3990"/>
    <cfRule type="duplicateValues" dxfId="3168" priority="3991"/>
    <cfRule type="duplicateValues" dxfId="3167" priority="3992"/>
    <cfRule type="duplicateValues" dxfId="3166" priority="3993"/>
    <cfRule type="duplicateValues" dxfId="3165" priority="3994"/>
    <cfRule type="duplicateValues" dxfId="3164" priority="3995"/>
    <cfRule type="duplicateValues" dxfId="3163" priority="3975"/>
    <cfRule type="duplicateValues" dxfId="3162" priority="3996"/>
    <cfRule type="duplicateValues" dxfId="3161" priority="3966"/>
    <cfRule type="duplicateValues" dxfId="3160" priority="3967"/>
    <cfRule type="duplicateValues" dxfId="3159" priority="3968"/>
    <cfRule type="duplicateValues" dxfId="3158" priority="3969"/>
    <cfRule type="duplicateValues" dxfId="3157" priority="3970"/>
  </conditionalFormatting>
  <conditionalFormatting sqref="C14">
    <cfRule type="duplicateValues" dxfId="3156" priority="3703"/>
    <cfRule type="duplicateValues" dxfId="3155" priority="3702"/>
    <cfRule type="duplicateValues" dxfId="3154" priority="3692"/>
    <cfRule type="duplicateValues" dxfId="3153" priority="3701"/>
    <cfRule type="duplicateValues" dxfId="3152" priority="3691"/>
    <cfRule type="duplicateValues" dxfId="3151" priority="3710"/>
    <cfRule type="duplicateValues" dxfId="3150" priority="3700"/>
    <cfRule type="duplicateValues" dxfId="3149" priority="3699"/>
    <cfRule type="duplicateValues" dxfId="3148" priority="3690"/>
    <cfRule type="duplicateValues" dxfId="3147" priority="3709"/>
    <cfRule type="duplicateValues" dxfId="3146" priority="3706"/>
    <cfRule type="duplicateValues" dxfId="3145" priority="3693"/>
    <cfRule type="duplicateValues" dxfId="3144" priority="3708"/>
    <cfRule type="duplicateValues" dxfId="3143" priority="3698"/>
    <cfRule type="duplicateValues" dxfId="3142" priority="3707"/>
    <cfRule type="duplicateValues" dxfId="3141" priority="3704"/>
    <cfRule type="duplicateValues" dxfId="3140" priority="3689"/>
    <cfRule type="duplicateValues" dxfId="3139" priority="3688"/>
    <cfRule type="duplicateValues" dxfId="3138" priority="3687"/>
    <cfRule type="duplicateValues" dxfId="3137" priority="3686"/>
    <cfRule type="duplicateValues" dxfId="3136" priority="3705"/>
    <cfRule type="duplicateValues" dxfId="3135" priority="3697"/>
    <cfRule type="duplicateValues" dxfId="3134" priority="3716"/>
    <cfRule type="duplicateValues" dxfId="3133" priority="3715"/>
    <cfRule type="duplicateValues" dxfId="3132" priority="3696"/>
    <cfRule type="duplicateValues" dxfId="3131" priority="3695"/>
    <cfRule type="duplicateValues" dxfId="3130" priority="3694"/>
    <cfRule type="duplicateValues" dxfId="3129" priority="3714"/>
    <cfRule type="duplicateValues" dxfId="3128" priority="3713"/>
    <cfRule type="duplicateValues" dxfId="3127" priority="3712"/>
    <cfRule type="duplicateValues" dxfId="3126" priority="3711"/>
  </conditionalFormatting>
  <conditionalFormatting sqref="C15">
    <cfRule type="duplicateValues" dxfId="3125" priority="87"/>
  </conditionalFormatting>
  <conditionalFormatting sqref="C16">
    <cfRule type="duplicateValues" dxfId="3124" priority="1078"/>
    <cfRule type="duplicateValues" dxfId="3123" priority="1079"/>
  </conditionalFormatting>
  <conditionalFormatting sqref="C17">
    <cfRule type="duplicateValues" dxfId="3122" priority="126"/>
  </conditionalFormatting>
  <conditionalFormatting sqref="C18">
    <cfRule type="duplicateValues" dxfId="3121" priority="786"/>
  </conditionalFormatting>
  <conditionalFormatting sqref="C19">
    <cfRule type="duplicateValues" dxfId="3120" priority="123"/>
  </conditionalFormatting>
  <conditionalFormatting sqref="C20">
    <cfRule type="duplicateValues" dxfId="3119" priority="1699"/>
  </conditionalFormatting>
  <conditionalFormatting sqref="C21">
    <cfRule type="duplicateValues" dxfId="3118" priority="1700"/>
  </conditionalFormatting>
  <conditionalFormatting sqref="C23">
    <cfRule type="duplicateValues" dxfId="3117" priority="4430"/>
    <cfRule type="duplicateValues" dxfId="3116" priority="4431"/>
    <cfRule type="duplicateValues" dxfId="3115" priority="4432"/>
    <cfRule type="duplicateValues" dxfId="3114" priority="4433"/>
    <cfRule type="duplicateValues" dxfId="3113" priority="4434"/>
    <cfRule type="duplicateValues" dxfId="3112" priority="4442"/>
    <cfRule type="duplicateValues" dxfId="3111" priority="4435"/>
    <cfRule type="duplicateValues" dxfId="3110" priority="4436"/>
    <cfRule type="duplicateValues" dxfId="3109" priority="4437"/>
    <cfRule type="duplicateValues" dxfId="3108" priority="4438"/>
    <cfRule type="duplicateValues" dxfId="3107" priority="4439"/>
    <cfRule type="duplicateValues" dxfId="3106" priority="4441"/>
    <cfRule type="duplicateValues" dxfId="3105" priority="4440"/>
    <cfRule type="duplicateValues" dxfId="3104" priority="4429"/>
  </conditionalFormatting>
  <conditionalFormatting sqref="C25">
    <cfRule type="duplicateValues" dxfId="3103" priority="479"/>
  </conditionalFormatting>
  <conditionalFormatting sqref="C26">
    <cfRule type="duplicateValues" dxfId="3102" priority="91"/>
  </conditionalFormatting>
  <conditionalFormatting sqref="C27">
    <cfRule type="duplicateValues" dxfId="3101" priority="3731"/>
    <cfRule type="duplicateValues" dxfId="3100" priority="3730"/>
    <cfRule type="duplicateValues" dxfId="3099" priority="3722"/>
    <cfRule type="duplicateValues" dxfId="3098" priority="3727"/>
    <cfRule type="duplicateValues" dxfId="3097" priority="3723"/>
    <cfRule type="duplicateValues" dxfId="3096" priority="3724"/>
    <cfRule type="duplicateValues" dxfId="3095" priority="3725"/>
    <cfRule type="duplicateValues" dxfId="3094" priority="3729"/>
    <cfRule type="duplicateValues" dxfId="3093" priority="3721"/>
    <cfRule type="duplicateValues" dxfId="3092" priority="3728"/>
    <cfRule type="duplicateValues" dxfId="3091" priority="3717"/>
    <cfRule type="duplicateValues" dxfId="3090" priority="3718"/>
    <cfRule type="duplicateValues" dxfId="3089" priority="3719"/>
    <cfRule type="duplicateValues" dxfId="3088" priority="3726"/>
    <cfRule type="duplicateValues" dxfId="3087" priority="3720"/>
  </conditionalFormatting>
  <conditionalFormatting sqref="C28:C29">
    <cfRule type="duplicateValues" dxfId="3086" priority="124"/>
  </conditionalFormatting>
  <conditionalFormatting sqref="C31">
    <cfRule type="duplicateValues" dxfId="3085" priority="323"/>
    <cfRule type="duplicateValues" dxfId="3084" priority="324"/>
    <cfRule type="duplicateValues" dxfId="3083" priority="325"/>
  </conditionalFormatting>
  <conditionalFormatting sqref="C32">
    <cfRule type="duplicateValues" dxfId="3082" priority="130"/>
  </conditionalFormatting>
  <conditionalFormatting sqref="C33:C34">
    <cfRule type="duplicateValues" dxfId="3081" priority="1610"/>
    <cfRule type="duplicateValues" dxfId="3080" priority="1611"/>
    <cfRule type="duplicateValues" dxfId="3079" priority="1612"/>
    <cfRule type="duplicateValues" dxfId="3078" priority="1613"/>
    <cfRule type="duplicateValues" dxfId="3077" priority="1608"/>
    <cfRule type="duplicateValues" dxfId="3076" priority="1607"/>
    <cfRule type="duplicateValues" dxfId="3075" priority="1609"/>
    <cfRule type="duplicateValues" dxfId="3074" priority="1606"/>
  </conditionalFormatting>
  <conditionalFormatting sqref="C35">
    <cfRule type="duplicateValues" dxfId="3073" priority="1784"/>
    <cfRule type="duplicateValues" dxfId="3072" priority="1783"/>
    <cfRule type="duplicateValues" dxfId="3071" priority="1785"/>
    <cfRule type="duplicateValues" dxfId="3070" priority="1786"/>
  </conditionalFormatting>
  <conditionalFormatting sqref="C36">
    <cfRule type="duplicateValues" dxfId="3069" priority="6078"/>
  </conditionalFormatting>
  <conditionalFormatting sqref="C37">
    <cfRule type="duplicateValues" dxfId="3068" priority="153"/>
    <cfRule type="duplicateValues" dxfId="3067" priority="152"/>
  </conditionalFormatting>
  <conditionalFormatting sqref="C38">
    <cfRule type="duplicateValues" dxfId="3066" priority="5926"/>
    <cfRule type="duplicateValues" dxfId="3065" priority="5923"/>
    <cfRule type="duplicateValues" dxfId="3064" priority="5924"/>
    <cfRule type="duplicateValues" dxfId="3063" priority="5927"/>
    <cfRule type="duplicateValues" dxfId="3062" priority="5925"/>
  </conditionalFormatting>
  <conditionalFormatting sqref="C39">
    <cfRule type="duplicateValues" dxfId="3061" priority="160"/>
    <cfRule type="duplicateValues" dxfId="3060" priority="161"/>
    <cfRule type="duplicateValues" dxfId="3059" priority="159"/>
    <cfRule type="duplicateValues" dxfId="3058" priority="158"/>
  </conditionalFormatting>
  <conditionalFormatting sqref="C40">
    <cfRule type="duplicateValues" dxfId="3057" priority="3"/>
    <cfRule type="duplicateValues" dxfId="3056" priority="4"/>
    <cfRule type="duplicateValues" dxfId="3055" priority="5"/>
    <cfRule type="duplicateValues" dxfId="3054" priority="6"/>
    <cfRule type="duplicateValues" dxfId="3053" priority="7"/>
  </conditionalFormatting>
  <conditionalFormatting sqref="C41">
    <cfRule type="duplicateValues" dxfId="3052" priority="151"/>
    <cfRule type="duplicateValues" dxfId="3051" priority="150"/>
  </conditionalFormatting>
  <conditionalFormatting sqref="C42">
    <cfRule type="duplicateValues" dxfId="3050" priority="4683"/>
    <cfRule type="duplicateValues" dxfId="3049" priority="4684"/>
    <cfRule type="duplicateValues" dxfId="3048" priority="4685"/>
    <cfRule type="duplicateValues" dxfId="3047" priority="4673"/>
    <cfRule type="duplicateValues" dxfId="3046" priority="4686"/>
    <cfRule type="duplicateValues" dxfId="3045" priority="4675"/>
    <cfRule type="duplicateValues" dxfId="3044" priority="4676"/>
    <cfRule type="duplicateValues" dxfId="3043" priority="4677"/>
    <cfRule type="duplicateValues" dxfId="3042" priority="4678"/>
    <cfRule type="duplicateValues" dxfId="3041" priority="4679"/>
    <cfRule type="duplicateValues" dxfId="3040" priority="4680"/>
    <cfRule type="duplicateValues" dxfId="3039" priority="4674"/>
    <cfRule type="duplicateValues" dxfId="3038" priority="4682"/>
    <cfRule type="duplicateValues" dxfId="3037" priority="4681"/>
  </conditionalFormatting>
  <conditionalFormatting sqref="C43">
    <cfRule type="duplicateValues" dxfId="3036" priority="4639"/>
    <cfRule type="duplicateValues" dxfId="3035" priority="4638"/>
    <cfRule type="duplicateValues" dxfId="3034" priority="4637"/>
    <cfRule type="duplicateValues" dxfId="3033" priority="4636"/>
    <cfRule type="duplicateValues" dxfId="3032" priority="4635"/>
    <cfRule type="duplicateValues" dxfId="3031" priority="4634"/>
    <cfRule type="duplicateValues" dxfId="3030" priority="4640"/>
    <cfRule type="duplicateValues" dxfId="3029" priority="4641"/>
    <cfRule type="duplicateValues" dxfId="3028" priority="4633"/>
    <cfRule type="duplicateValues" dxfId="3027" priority="4632"/>
    <cfRule type="duplicateValues" dxfId="3026" priority="4631"/>
    <cfRule type="duplicateValues" dxfId="3025" priority="4629"/>
    <cfRule type="duplicateValues" dxfId="3024" priority="4628"/>
    <cfRule type="duplicateValues" dxfId="3023" priority="4630"/>
  </conditionalFormatting>
  <conditionalFormatting sqref="C44">
    <cfRule type="duplicateValues" dxfId="3022" priority="9"/>
  </conditionalFormatting>
  <conditionalFormatting sqref="C45">
    <cfRule type="duplicateValues" dxfId="3021" priority="3836"/>
    <cfRule type="duplicateValues" dxfId="3020" priority="3835"/>
    <cfRule type="duplicateValues" dxfId="3019" priority="3838"/>
    <cfRule type="duplicateValues" dxfId="3018" priority="3837"/>
  </conditionalFormatting>
  <conditionalFormatting sqref="C46">
    <cfRule type="duplicateValues" dxfId="3017" priority="4469"/>
    <cfRule type="duplicateValues" dxfId="3016" priority="4468"/>
    <cfRule type="duplicateValues" dxfId="3015" priority="4467"/>
  </conditionalFormatting>
  <conditionalFormatting sqref="C47">
    <cfRule type="duplicateValues" dxfId="3014" priority="5582"/>
    <cfRule type="duplicateValues" dxfId="3013" priority="5583"/>
    <cfRule type="duplicateValues" dxfId="3012" priority="5584"/>
    <cfRule type="duplicateValues" dxfId="3011" priority="5578"/>
    <cfRule type="duplicateValues" dxfId="3010" priority="5579"/>
    <cfRule type="duplicateValues" dxfId="3009" priority="5580"/>
    <cfRule type="duplicateValues" dxfId="3008" priority="5581"/>
  </conditionalFormatting>
  <conditionalFormatting sqref="C48">
    <cfRule type="duplicateValues" dxfId="3007" priority="118"/>
    <cfRule type="duplicateValues" dxfId="3006" priority="116"/>
    <cfRule type="duplicateValues" dxfId="3005" priority="117"/>
  </conditionalFormatting>
  <conditionalFormatting sqref="C49">
    <cfRule type="duplicateValues" dxfId="3004" priority="113"/>
    <cfRule type="duplicateValues" dxfId="3003" priority="115"/>
    <cfRule type="duplicateValues" dxfId="3002" priority="114"/>
  </conditionalFormatting>
  <conditionalFormatting sqref="C50">
    <cfRule type="duplicateValues" dxfId="3001" priority="4113"/>
    <cfRule type="duplicateValues" dxfId="3000" priority="4116"/>
    <cfRule type="duplicateValues" dxfId="2999" priority="4115"/>
    <cfRule type="duplicateValues" dxfId="2998" priority="4114"/>
  </conditionalFormatting>
  <conditionalFormatting sqref="C51">
    <cfRule type="duplicateValues" dxfId="2997" priority="5466"/>
    <cfRule type="duplicateValues" dxfId="2996" priority="5467"/>
    <cfRule type="duplicateValues" dxfId="2995" priority="5468"/>
    <cfRule type="duplicateValues" dxfId="2994" priority="5469"/>
    <cfRule type="duplicateValues" dxfId="2993" priority="5463"/>
    <cfRule type="duplicateValues" dxfId="2992" priority="5465"/>
    <cfRule type="duplicateValues" dxfId="2991" priority="5464"/>
    <cfRule type="duplicateValues" dxfId="2990" priority="5470"/>
  </conditionalFormatting>
  <conditionalFormatting sqref="C52">
    <cfRule type="duplicateValues" dxfId="2989" priority="4577"/>
    <cfRule type="duplicateValues" dxfId="2988" priority="4578"/>
    <cfRule type="duplicateValues" dxfId="2987" priority="4579"/>
  </conditionalFormatting>
  <conditionalFormatting sqref="C53">
    <cfRule type="duplicateValues" dxfId="2986" priority="88"/>
  </conditionalFormatting>
  <conditionalFormatting sqref="C55:C56">
    <cfRule type="duplicateValues" dxfId="2985" priority="134"/>
    <cfRule type="duplicateValues" dxfId="2984" priority="135"/>
  </conditionalFormatting>
  <conditionalFormatting sqref="C57">
    <cfRule type="duplicateValues" dxfId="2983" priority="470"/>
  </conditionalFormatting>
  <conditionalFormatting sqref="C58">
    <cfRule type="duplicateValues" dxfId="2982" priority="6398"/>
  </conditionalFormatting>
  <conditionalFormatting sqref="C59">
    <cfRule type="duplicateValues" dxfId="2981" priority="849"/>
    <cfRule type="duplicateValues" dxfId="2980" priority="829"/>
    <cfRule type="duplicateValues" dxfId="2979" priority="828"/>
    <cfRule type="duplicateValues" dxfId="2978" priority="827"/>
    <cfRule type="duplicateValues" dxfId="2977" priority="826"/>
    <cfRule type="duplicateValues" dxfId="2976" priority="825"/>
    <cfRule type="duplicateValues" dxfId="2975" priority="824"/>
    <cfRule type="duplicateValues" dxfId="2974" priority="823"/>
    <cfRule type="duplicateValues" dxfId="2973" priority="822"/>
    <cfRule type="duplicateValues" dxfId="2972" priority="821"/>
    <cfRule type="duplicateValues" dxfId="2971" priority="848"/>
    <cfRule type="duplicateValues" dxfId="2970" priority="847"/>
    <cfRule type="duplicateValues" dxfId="2969" priority="846"/>
    <cfRule type="duplicateValues" dxfId="2968" priority="845"/>
    <cfRule type="duplicateValues" dxfId="2967" priority="834"/>
    <cfRule type="duplicateValues" dxfId="2966" priority="844"/>
    <cfRule type="duplicateValues" dxfId="2965" priority="843"/>
    <cfRule type="duplicateValues" dxfId="2964" priority="842"/>
    <cfRule type="duplicateValues" dxfId="2963" priority="841"/>
    <cfRule type="duplicateValues" dxfId="2962" priority="840"/>
    <cfRule type="duplicateValues" dxfId="2961" priority="839"/>
    <cfRule type="duplicateValues" dxfId="2960" priority="837"/>
    <cfRule type="duplicateValues" dxfId="2959" priority="836"/>
    <cfRule type="duplicateValues" dxfId="2958" priority="835"/>
    <cfRule type="duplicateValues" dxfId="2957" priority="833"/>
    <cfRule type="duplicateValues" dxfId="2956" priority="832"/>
    <cfRule type="duplicateValues" dxfId="2955" priority="831"/>
    <cfRule type="duplicateValues" dxfId="2954" priority="838"/>
    <cfRule type="duplicateValues" dxfId="2953" priority="830"/>
  </conditionalFormatting>
  <conditionalFormatting sqref="C60">
    <cfRule type="duplicateValues" dxfId="2952" priority="333"/>
  </conditionalFormatting>
  <conditionalFormatting sqref="C61">
    <cfRule type="duplicateValues" dxfId="2951" priority="2199"/>
  </conditionalFormatting>
  <conditionalFormatting sqref="C62">
    <cfRule type="duplicateValues" dxfId="2950" priority="106"/>
  </conditionalFormatting>
  <conditionalFormatting sqref="C63">
    <cfRule type="duplicateValues" dxfId="2949" priority="3564"/>
    <cfRule type="duplicateValues" dxfId="2948" priority="3563"/>
  </conditionalFormatting>
  <conditionalFormatting sqref="C64 C58">
    <cfRule type="duplicateValues" dxfId="2947" priority="6399"/>
  </conditionalFormatting>
  <conditionalFormatting sqref="C65:C66">
    <cfRule type="duplicateValues" dxfId="2946" priority="1553"/>
  </conditionalFormatting>
  <conditionalFormatting sqref="C67">
    <cfRule type="duplicateValues" dxfId="2945" priority="2460"/>
  </conditionalFormatting>
  <conditionalFormatting sqref="C68">
    <cfRule type="duplicateValues" dxfId="2944" priority="194"/>
    <cfRule type="duplicateValues" dxfId="2943" priority="195"/>
    <cfRule type="duplicateValues" dxfId="2942" priority="196"/>
    <cfRule type="duplicateValues" dxfId="2941" priority="197"/>
    <cfRule type="duplicateValues" dxfId="2940" priority="199"/>
    <cfRule type="duplicateValues" dxfId="2939" priority="200"/>
    <cfRule type="duplicateValues" dxfId="2938" priority="198"/>
    <cfRule type="duplicateValues" dxfId="2937" priority="171"/>
    <cfRule type="duplicateValues" dxfId="2936" priority="172"/>
    <cfRule type="duplicateValues" dxfId="2935" priority="173"/>
    <cfRule type="duplicateValues" dxfId="2934" priority="174"/>
    <cfRule type="duplicateValues" dxfId="2933" priority="175"/>
    <cfRule type="duplicateValues" dxfId="2932" priority="176"/>
    <cfRule type="duplicateValues" dxfId="2931" priority="177"/>
    <cfRule type="duplicateValues" dxfId="2930" priority="178"/>
    <cfRule type="duplicateValues" dxfId="2929" priority="191"/>
    <cfRule type="duplicateValues" dxfId="2928" priority="179"/>
    <cfRule type="duplicateValues" dxfId="2927" priority="180"/>
    <cfRule type="duplicateValues" dxfId="2926" priority="181"/>
    <cfRule type="duplicateValues" dxfId="2925" priority="182"/>
    <cfRule type="duplicateValues" dxfId="2924" priority="183"/>
    <cfRule type="duplicateValues" dxfId="2923" priority="184"/>
    <cfRule type="duplicateValues" dxfId="2922" priority="185"/>
    <cfRule type="duplicateValues" dxfId="2921" priority="186"/>
    <cfRule type="duplicateValues" dxfId="2920" priority="187"/>
    <cfRule type="duplicateValues" dxfId="2919" priority="188"/>
    <cfRule type="duplicateValues" dxfId="2918" priority="189"/>
    <cfRule type="duplicateValues" dxfId="2917" priority="190"/>
    <cfRule type="duplicateValues" dxfId="2916" priority="192"/>
    <cfRule type="duplicateValues" dxfId="2915" priority="193"/>
  </conditionalFormatting>
  <conditionalFormatting sqref="C71">
    <cfRule type="duplicateValues" dxfId="2914" priority="1973"/>
  </conditionalFormatting>
  <conditionalFormatting sqref="C72">
    <cfRule type="duplicateValues" dxfId="2913" priority="1972"/>
  </conditionalFormatting>
  <conditionalFormatting sqref="C73">
    <cfRule type="duplicateValues" dxfId="2912" priority="1884"/>
    <cfRule type="duplicateValues" dxfId="2911" priority="1885"/>
    <cfRule type="duplicateValues" dxfId="2910" priority="1882"/>
    <cfRule type="duplicateValues" dxfId="2909" priority="1883"/>
  </conditionalFormatting>
  <conditionalFormatting sqref="C74">
    <cfRule type="duplicateValues" dxfId="2908" priority="913"/>
  </conditionalFormatting>
  <conditionalFormatting sqref="C75">
    <cfRule type="duplicateValues" dxfId="2907" priority="5660"/>
    <cfRule type="duplicateValues" dxfId="2906" priority="5659"/>
    <cfRule type="duplicateValues" dxfId="2905" priority="5658"/>
    <cfRule type="duplicateValues" dxfId="2904" priority="5657"/>
  </conditionalFormatting>
  <conditionalFormatting sqref="C76">
    <cfRule type="duplicateValues" dxfId="2903" priority="908"/>
  </conditionalFormatting>
  <conditionalFormatting sqref="C77">
    <cfRule type="duplicateValues" dxfId="2902" priority="4091"/>
    <cfRule type="duplicateValues" dxfId="2901" priority="4088"/>
    <cfRule type="duplicateValues" dxfId="2900" priority="4089"/>
    <cfRule type="duplicateValues" dxfId="2899" priority="4090"/>
  </conditionalFormatting>
  <conditionalFormatting sqref="C79">
    <cfRule type="duplicateValues" dxfId="2898" priority="3767"/>
    <cfRule type="duplicateValues" dxfId="2897" priority="3768"/>
    <cfRule type="duplicateValues" dxfId="2896" priority="3769"/>
    <cfRule type="duplicateValues" dxfId="2895" priority="3770"/>
  </conditionalFormatting>
  <conditionalFormatting sqref="C80">
    <cfRule type="duplicateValues" dxfId="2894" priority="2091"/>
  </conditionalFormatting>
  <conditionalFormatting sqref="C81">
    <cfRule type="duplicateValues" dxfId="2893" priority="5637"/>
    <cfRule type="duplicateValues" dxfId="2892" priority="5641"/>
    <cfRule type="duplicateValues" dxfId="2891" priority="5640"/>
    <cfRule type="duplicateValues" dxfId="2890" priority="5639"/>
    <cfRule type="duplicateValues" dxfId="2889" priority="5638"/>
    <cfRule type="duplicateValues" dxfId="2888" priority="5636"/>
    <cfRule type="duplicateValues" dxfId="2887" priority="5635"/>
  </conditionalFormatting>
  <conditionalFormatting sqref="C82">
    <cfRule type="duplicateValues" dxfId="2886" priority="2135"/>
    <cfRule type="duplicateValues" dxfId="2885" priority="2136"/>
    <cfRule type="duplicateValues" dxfId="2884" priority="2134"/>
  </conditionalFormatting>
  <conditionalFormatting sqref="C83">
    <cfRule type="duplicateValues" dxfId="2883" priority="2132"/>
    <cfRule type="duplicateValues" dxfId="2882" priority="2131"/>
    <cfRule type="duplicateValues" dxfId="2881" priority="2133"/>
  </conditionalFormatting>
  <conditionalFormatting sqref="C84">
    <cfRule type="duplicateValues" dxfId="2880" priority="5700"/>
    <cfRule type="duplicateValues" dxfId="2879" priority="5697"/>
    <cfRule type="duplicateValues" dxfId="2878" priority="5696"/>
    <cfRule type="duplicateValues" dxfId="2877" priority="5695"/>
    <cfRule type="duplicateValues" dxfId="2876" priority="5694"/>
    <cfRule type="duplicateValues" dxfId="2875" priority="5699"/>
    <cfRule type="duplicateValues" dxfId="2874" priority="5698"/>
  </conditionalFormatting>
  <conditionalFormatting sqref="C85">
    <cfRule type="duplicateValues" dxfId="2873" priority="3058"/>
    <cfRule type="duplicateValues" dxfId="2872" priority="3051"/>
    <cfRule type="duplicateValues" dxfId="2871" priority="3052"/>
    <cfRule type="duplicateValues" dxfId="2870" priority="3053"/>
    <cfRule type="duplicateValues" dxfId="2869" priority="3054"/>
    <cfRule type="duplicateValues" dxfId="2868" priority="3055"/>
    <cfRule type="duplicateValues" dxfId="2867" priority="3056"/>
    <cfRule type="duplicateValues" dxfId="2866" priority="3057"/>
  </conditionalFormatting>
  <conditionalFormatting sqref="C90">
    <cfRule type="duplicateValues" dxfId="2865" priority="2310"/>
    <cfRule type="duplicateValues" dxfId="2864" priority="2311"/>
    <cfRule type="duplicateValues" dxfId="2863" priority="2312"/>
    <cfRule type="duplicateValues" dxfId="2862" priority="2313"/>
    <cfRule type="duplicateValues" dxfId="2861" priority="2314"/>
    <cfRule type="duplicateValues" dxfId="2860" priority="2316"/>
    <cfRule type="duplicateValues" dxfId="2859" priority="2315"/>
  </conditionalFormatting>
  <conditionalFormatting sqref="C91">
    <cfRule type="duplicateValues" dxfId="2858" priority="5591"/>
    <cfRule type="duplicateValues" dxfId="2857" priority="5590"/>
    <cfRule type="duplicateValues" dxfId="2856" priority="5592"/>
    <cfRule type="duplicateValues" dxfId="2855" priority="5588"/>
    <cfRule type="duplicateValues" dxfId="2854" priority="5589"/>
    <cfRule type="duplicateValues" dxfId="2853" priority="5587"/>
    <cfRule type="duplicateValues" dxfId="2852" priority="5586"/>
  </conditionalFormatting>
  <conditionalFormatting sqref="C92">
    <cfRule type="duplicateValues" dxfId="2851" priority="5739"/>
    <cfRule type="duplicateValues" dxfId="2850" priority="5740"/>
    <cfRule type="duplicateValues" dxfId="2849" priority="5744"/>
    <cfRule type="duplicateValues" dxfId="2848" priority="5743"/>
    <cfRule type="duplicateValues" dxfId="2847" priority="5741"/>
    <cfRule type="duplicateValues" dxfId="2846" priority="5745"/>
    <cfRule type="duplicateValues" dxfId="2845" priority="5742"/>
  </conditionalFormatting>
  <conditionalFormatting sqref="C96:C98">
    <cfRule type="duplicateValues" dxfId="2844" priority="5217"/>
    <cfRule type="duplicateValues" dxfId="2843" priority="5210"/>
    <cfRule type="duplicateValues" dxfId="2842" priority="5212"/>
    <cfRule type="duplicateValues" dxfId="2841" priority="5213"/>
    <cfRule type="duplicateValues" dxfId="2840" priority="5214"/>
    <cfRule type="duplicateValues" dxfId="2839" priority="5215"/>
    <cfRule type="duplicateValues" dxfId="2838" priority="5216"/>
    <cfRule type="duplicateValues" dxfId="2837" priority="5211"/>
    <cfRule type="duplicateValues" dxfId="2836" priority="5221"/>
    <cfRule type="duplicateValues" dxfId="2835" priority="5220"/>
    <cfRule type="duplicateValues" dxfId="2834" priority="5219"/>
    <cfRule type="duplicateValues" dxfId="2833" priority="5218"/>
  </conditionalFormatting>
  <conditionalFormatting sqref="C99:C100 C64 C58 C93:C95 C86:C89 C78">
    <cfRule type="duplicateValues" dxfId="2832" priority="6400"/>
  </conditionalFormatting>
  <conditionalFormatting sqref="C102 C138 C126 C130 C128">
    <cfRule type="duplicateValues" dxfId="2831" priority="6396"/>
  </conditionalFormatting>
  <conditionalFormatting sqref="C102">
    <cfRule type="duplicateValues" dxfId="2830" priority="6395"/>
    <cfRule type="duplicateValues" dxfId="2829" priority="6394"/>
    <cfRule type="duplicateValues" dxfId="2828" priority="6393"/>
  </conditionalFormatting>
  <conditionalFormatting sqref="C103">
    <cfRule type="duplicateValues" dxfId="2827" priority="915"/>
  </conditionalFormatting>
  <conditionalFormatting sqref="C104">
    <cfRule type="duplicateValues" dxfId="2826" priority="122"/>
  </conditionalFormatting>
  <conditionalFormatting sqref="C105">
    <cfRule type="duplicateValues" dxfId="2825" priority="127"/>
    <cfRule type="duplicateValues" dxfId="2824" priority="128"/>
    <cfRule type="duplicateValues" dxfId="2823" priority="129"/>
  </conditionalFormatting>
  <conditionalFormatting sqref="C106">
    <cfRule type="duplicateValues" dxfId="2822" priority="904"/>
    <cfRule type="duplicateValues" dxfId="2821" priority="902"/>
    <cfRule type="duplicateValues" dxfId="2820" priority="903"/>
  </conditionalFormatting>
  <conditionalFormatting sqref="C107">
    <cfRule type="duplicateValues" dxfId="2819" priority="901"/>
    <cfRule type="duplicateValues" dxfId="2818" priority="900"/>
    <cfRule type="duplicateValues" dxfId="2817" priority="899"/>
  </conditionalFormatting>
  <conditionalFormatting sqref="C108">
    <cfRule type="duplicateValues" dxfId="2816" priority="3514"/>
    <cfRule type="duplicateValues" dxfId="2815" priority="3513"/>
    <cfRule type="duplicateValues" dxfId="2814" priority="3512"/>
    <cfRule type="duplicateValues" dxfId="2813" priority="3510"/>
    <cfRule type="duplicateValues" dxfId="2812" priority="3509"/>
    <cfRule type="duplicateValues" dxfId="2811" priority="3508"/>
    <cfRule type="duplicateValues" dxfId="2810" priority="3507"/>
    <cfRule type="duplicateValues" dxfId="2809" priority="3506"/>
    <cfRule type="duplicateValues" dxfId="2808" priority="3511"/>
    <cfRule type="duplicateValues" dxfId="2807" priority="3505"/>
    <cfRule type="duplicateValues" dxfId="2806" priority="3520"/>
    <cfRule type="duplicateValues" dxfId="2805" priority="3519"/>
    <cfRule type="duplicateValues" dxfId="2804" priority="3518"/>
    <cfRule type="duplicateValues" dxfId="2803" priority="3517"/>
    <cfRule type="duplicateValues" dxfId="2802" priority="3516"/>
    <cfRule type="duplicateValues" dxfId="2801" priority="3515"/>
  </conditionalFormatting>
  <conditionalFormatting sqref="C109">
    <cfRule type="duplicateValues" dxfId="2800" priority="1644"/>
    <cfRule type="duplicateValues" dxfId="2799" priority="1643"/>
    <cfRule type="duplicateValues" dxfId="2798" priority="1642"/>
    <cfRule type="duplicateValues" dxfId="2797" priority="1641"/>
    <cfRule type="duplicateValues" dxfId="2796" priority="1640"/>
    <cfRule type="duplicateValues" dxfId="2795" priority="1638"/>
    <cfRule type="duplicateValues" dxfId="2794" priority="1645"/>
    <cfRule type="duplicateValues" dxfId="2793" priority="1639"/>
  </conditionalFormatting>
  <conditionalFormatting sqref="C110 C113:C114">
    <cfRule type="duplicateValues" dxfId="2792" priority="1050"/>
    <cfRule type="duplicateValues" dxfId="2791" priority="1051"/>
    <cfRule type="duplicateValues" dxfId="2790" priority="1053"/>
    <cfRule type="duplicateValues" dxfId="2789" priority="1054"/>
    <cfRule type="duplicateValues" dxfId="2788" priority="1055"/>
    <cfRule type="duplicateValues" dxfId="2787" priority="1056"/>
  </conditionalFormatting>
  <conditionalFormatting sqref="C110">
    <cfRule type="duplicateValues" dxfId="2786" priority="1049"/>
    <cfRule type="duplicateValues" dxfId="2785" priority="1048"/>
    <cfRule type="duplicateValues" dxfId="2784" priority="1052"/>
  </conditionalFormatting>
  <conditionalFormatting sqref="C111">
    <cfRule type="duplicateValues" dxfId="2783" priority="86"/>
  </conditionalFormatting>
  <conditionalFormatting sqref="C112">
    <cfRule type="duplicateValues" dxfId="2782" priority="52"/>
    <cfRule type="duplicateValues" dxfId="2781" priority="51"/>
  </conditionalFormatting>
  <conditionalFormatting sqref="C115">
    <cfRule type="duplicateValues" dxfId="2780" priority="2320"/>
    <cfRule type="duplicateValues" dxfId="2779" priority="2319"/>
    <cfRule type="duplicateValues" dxfId="2778" priority="2317"/>
    <cfRule type="duplicateValues" dxfId="2777" priority="2323"/>
    <cfRule type="duplicateValues" dxfId="2776" priority="2318"/>
    <cfRule type="duplicateValues" dxfId="2775" priority="2322"/>
    <cfRule type="duplicateValues" dxfId="2774" priority="2321"/>
  </conditionalFormatting>
  <conditionalFormatting sqref="C117">
    <cfRule type="duplicateValues" dxfId="2773" priority="2407"/>
    <cfRule type="duplicateValues" dxfId="2772" priority="2406"/>
  </conditionalFormatting>
  <conditionalFormatting sqref="C118">
    <cfRule type="duplicateValues" dxfId="2771" priority="4658"/>
  </conditionalFormatting>
  <conditionalFormatting sqref="C119">
    <cfRule type="duplicateValues" dxfId="2770" priority="2300"/>
    <cfRule type="duplicateValues" dxfId="2769" priority="2301"/>
    <cfRule type="duplicateValues" dxfId="2768" priority="2299"/>
    <cfRule type="duplicateValues" dxfId="2767" priority="2298"/>
    <cfRule type="duplicateValues" dxfId="2766" priority="2302"/>
    <cfRule type="duplicateValues" dxfId="2765" priority="2297"/>
  </conditionalFormatting>
  <conditionalFormatting sqref="C120">
    <cfRule type="duplicateValues" dxfId="2764" priority="694"/>
  </conditionalFormatting>
  <conditionalFormatting sqref="C121">
    <cfRule type="duplicateValues" dxfId="2763" priority="5164"/>
    <cfRule type="duplicateValues" dxfId="2762" priority="5163"/>
    <cfRule type="duplicateValues" dxfId="2761" priority="5162"/>
    <cfRule type="duplicateValues" dxfId="2760" priority="5161"/>
    <cfRule type="duplicateValues" dxfId="2759" priority="5172"/>
    <cfRule type="duplicateValues" dxfId="2758" priority="5160"/>
    <cfRule type="duplicateValues" dxfId="2757" priority="5166"/>
    <cfRule type="duplicateValues" dxfId="2756" priority="5167"/>
    <cfRule type="duplicateValues" dxfId="2755" priority="5168"/>
    <cfRule type="duplicateValues" dxfId="2754" priority="5169"/>
    <cfRule type="duplicateValues" dxfId="2753" priority="5170"/>
    <cfRule type="duplicateValues" dxfId="2752" priority="5165"/>
    <cfRule type="duplicateValues" dxfId="2751" priority="5171"/>
  </conditionalFormatting>
  <conditionalFormatting sqref="C122:C123">
    <cfRule type="duplicateValues" dxfId="2750" priority="85"/>
  </conditionalFormatting>
  <conditionalFormatting sqref="C124">
    <cfRule type="duplicateValues" dxfId="2749" priority="2442"/>
    <cfRule type="duplicateValues" dxfId="2748" priority="2443"/>
  </conditionalFormatting>
  <conditionalFormatting sqref="C125">
    <cfRule type="duplicateValues" dxfId="2747" priority="5737"/>
    <cfRule type="duplicateValues" dxfId="2746" priority="5734"/>
    <cfRule type="duplicateValues" dxfId="2745" priority="5732"/>
    <cfRule type="duplicateValues" dxfId="2744" priority="5733"/>
    <cfRule type="duplicateValues" dxfId="2743" priority="5735"/>
    <cfRule type="duplicateValues" dxfId="2742" priority="5736"/>
    <cfRule type="duplicateValues" dxfId="2741" priority="5738"/>
  </conditionalFormatting>
  <conditionalFormatting sqref="C127">
    <cfRule type="duplicateValues" dxfId="2740" priority="4235"/>
    <cfRule type="duplicateValues" dxfId="2739" priority="4233"/>
    <cfRule type="duplicateValues" dxfId="2738" priority="4234"/>
  </conditionalFormatting>
  <conditionalFormatting sqref="C129">
    <cfRule type="duplicateValues" dxfId="2737" priority="629"/>
  </conditionalFormatting>
  <conditionalFormatting sqref="C131">
    <cfRule type="duplicateValues" dxfId="2736" priority="6005"/>
    <cfRule type="duplicateValues" dxfId="2735" priority="6003"/>
    <cfRule type="duplicateValues" dxfId="2734" priority="6004"/>
    <cfRule type="duplicateValues" dxfId="2733" priority="6006"/>
  </conditionalFormatting>
  <conditionalFormatting sqref="C132">
    <cfRule type="duplicateValues" dxfId="2732" priority="5651"/>
    <cfRule type="duplicateValues" dxfId="2731" priority="5650"/>
    <cfRule type="duplicateValues" dxfId="2730" priority="5652"/>
    <cfRule type="duplicateValues" dxfId="2729" priority="5653"/>
    <cfRule type="duplicateValues" dxfId="2728" priority="5655"/>
    <cfRule type="duplicateValues" dxfId="2727" priority="5654"/>
    <cfRule type="duplicateValues" dxfId="2726" priority="5656"/>
  </conditionalFormatting>
  <conditionalFormatting sqref="C133:C134">
    <cfRule type="duplicateValues" dxfId="2725" priority="1046"/>
    <cfRule type="duplicateValues" dxfId="2724" priority="1045"/>
    <cfRule type="duplicateValues" dxfId="2723" priority="1044"/>
    <cfRule type="duplicateValues" dxfId="2722" priority="1043"/>
    <cfRule type="duplicateValues" dxfId="2721" priority="1042"/>
    <cfRule type="duplicateValues" dxfId="2720" priority="1041"/>
    <cfRule type="duplicateValues" dxfId="2719" priority="1040"/>
    <cfRule type="duplicateValues" dxfId="2718" priority="1030"/>
    <cfRule type="duplicateValues" dxfId="2717" priority="1031"/>
    <cfRule type="duplicateValues" dxfId="2716" priority="1032"/>
    <cfRule type="duplicateValues" dxfId="2715" priority="1038"/>
    <cfRule type="duplicateValues" dxfId="2714" priority="1034"/>
    <cfRule type="duplicateValues" dxfId="2713" priority="1035"/>
    <cfRule type="duplicateValues" dxfId="2712" priority="1036"/>
    <cfRule type="duplicateValues" dxfId="2711" priority="1037"/>
    <cfRule type="duplicateValues" dxfId="2710" priority="1039"/>
    <cfRule type="duplicateValues" dxfId="2709" priority="1033"/>
    <cfRule type="duplicateValues" dxfId="2708" priority="1047"/>
  </conditionalFormatting>
  <conditionalFormatting sqref="C135">
    <cfRule type="duplicateValues" dxfId="2707" priority="2236"/>
    <cfRule type="duplicateValues" dxfId="2706" priority="2235"/>
  </conditionalFormatting>
  <conditionalFormatting sqref="C136">
    <cfRule type="duplicateValues" dxfId="2705" priority="5093"/>
    <cfRule type="duplicateValues" dxfId="2704" priority="5092"/>
    <cfRule type="duplicateValues" dxfId="2703" priority="5091"/>
    <cfRule type="duplicateValues" dxfId="2702" priority="5090"/>
    <cfRule type="duplicateValues" dxfId="2701" priority="5088"/>
    <cfRule type="duplicateValues" dxfId="2700" priority="5087"/>
    <cfRule type="duplicateValues" dxfId="2699" priority="5086"/>
    <cfRule type="duplicateValues" dxfId="2698" priority="5085"/>
    <cfRule type="duplicateValues" dxfId="2697" priority="5084"/>
    <cfRule type="duplicateValues" dxfId="2696" priority="5089"/>
    <cfRule type="duplicateValues" dxfId="2695" priority="5083"/>
    <cfRule type="duplicateValues" dxfId="2694" priority="5082"/>
    <cfRule type="duplicateValues" dxfId="2693" priority="5094"/>
  </conditionalFormatting>
  <conditionalFormatting sqref="C137">
    <cfRule type="duplicateValues" dxfId="2692" priority="887"/>
    <cfRule type="duplicateValues" dxfId="2691" priority="886"/>
  </conditionalFormatting>
  <conditionalFormatting sqref="C139">
    <cfRule type="duplicateValues" dxfId="2690" priority="894"/>
    <cfRule type="duplicateValues" dxfId="2689" priority="895"/>
  </conditionalFormatting>
  <conditionalFormatting sqref="C140">
    <cfRule type="duplicateValues" dxfId="2688" priority="12"/>
  </conditionalFormatting>
  <conditionalFormatting sqref="C141:C142">
    <cfRule type="duplicateValues" dxfId="2687" priority="691"/>
    <cfRule type="duplicateValues" dxfId="2686" priority="689"/>
    <cfRule type="duplicateValues" dxfId="2685" priority="690"/>
  </conditionalFormatting>
  <conditionalFormatting sqref="C143">
    <cfRule type="duplicateValues" dxfId="2684" priority="5201"/>
    <cfRule type="duplicateValues" dxfId="2683" priority="5209"/>
    <cfRule type="duplicateValues" dxfId="2682" priority="5204"/>
    <cfRule type="duplicateValues" dxfId="2681" priority="5205"/>
    <cfRule type="duplicateValues" dxfId="2680" priority="5207"/>
    <cfRule type="duplicateValues" dxfId="2679" priority="5208"/>
    <cfRule type="duplicateValues" dxfId="2678" priority="5203"/>
    <cfRule type="duplicateValues" dxfId="2677" priority="5202"/>
    <cfRule type="duplicateValues" dxfId="2676" priority="5206"/>
    <cfRule type="duplicateValues" dxfId="2675" priority="5200"/>
    <cfRule type="duplicateValues" dxfId="2674" priority="5199"/>
    <cfRule type="duplicateValues" dxfId="2673" priority="5198"/>
  </conditionalFormatting>
  <conditionalFormatting sqref="C145">
    <cfRule type="duplicateValues" dxfId="2672" priority="1742"/>
    <cfRule type="duplicateValues" dxfId="2671" priority="1743"/>
    <cfRule type="duplicateValues" dxfId="2670" priority="1744"/>
    <cfRule type="duplicateValues" dxfId="2669" priority="1745"/>
  </conditionalFormatting>
  <conditionalFormatting sqref="C146">
    <cfRule type="duplicateValues" dxfId="2668" priority="444"/>
    <cfRule type="duplicateValues" dxfId="2667" priority="463"/>
    <cfRule type="duplicateValues" dxfId="2666" priority="450"/>
    <cfRule type="duplicateValues" dxfId="2665" priority="465"/>
    <cfRule type="duplicateValues" dxfId="2664" priority="464"/>
    <cfRule type="duplicateValues" dxfId="2663" priority="462"/>
    <cfRule type="duplicateValues" dxfId="2662" priority="456"/>
    <cfRule type="duplicateValues" dxfId="2661" priority="448"/>
    <cfRule type="duplicateValues" dxfId="2660" priority="460"/>
    <cfRule type="duplicateValues" dxfId="2659" priority="459"/>
    <cfRule type="duplicateValues" dxfId="2658" priority="458"/>
    <cfRule type="duplicateValues" dxfId="2657" priority="457"/>
    <cfRule type="duplicateValues" dxfId="2656" priority="449"/>
    <cfRule type="duplicateValues" dxfId="2655" priority="447"/>
    <cfRule type="duplicateValues" dxfId="2654" priority="438"/>
    <cfRule type="duplicateValues" dxfId="2653" priority="439"/>
    <cfRule type="duplicateValues" dxfId="2652" priority="440"/>
    <cfRule type="duplicateValues" dxfId="2651" priority="441"/>
    <cfRule type="duplicateValues" dxfId="2650" priority="446"/>
    <cfRule type="duplicateValues" dxfId="2649" priority="442"/>
    <cfRule type="duplicateValues" dxfId="2648" priority="466"/>
    <cfRule type="duplicateValues" dxfId="2647" priority="443"/>
    <cfRule type="duplicateValues" dxfId="2646" priority="455"/>
    <cfRule type="duplicateValues" dxfId="2645" priority="454"/>
    <cfRule type="duplicateValues" dxfId="2644" priority="453"/>
    <cfRule type="duplicateValues" dxfId="2643" priority="452"/>
    <cfRule type="duplicateValues" dxfId="2642" priority="451"/>
    <cfRule type="duplicateValues" dxfId="2641" priority="445"/>
    <cfRule type="duplicateValues" dxfId="2640" priority="461"/>
  </conditionalFormatting>
  <conditionalFormatting sqref="C147">
    <cfRule type="duplicateValues" dxfId="2639" priority="1694"/>
    <cfRule type="duplicateValues" dxfId="2638" priority="1693"/>
  </conditionalFormatting>
  <conditionalFormatting sqref="C148">
    <cfRule type="duplicateValues" dxfId="2637" priority="1698"/>
  </conditionalFormatting>
  <conditionalFormatting sqref="C149">
    <cfRule type="duplicateValues" dxfId="2636" priority="1731"/>
  </conditionalFormatting>
  <conditionalFormatting sqref="C150 C164 C175:C176">
    <cfRule type="duplicateValues" dxfId="2635" priority="19785"/>
  </conditionalFormatting>
  <conditionalFormatting sqref="C150">
    <cfRule type="duplicateValues" dxfId="2634" priority="1090"/>
  </conditionalFormatting>
  <conditionalFormatting sqref="C151 C160">
    <cfRule type="duplicateValues" dxfId="2633" priority="602"/>
    <cfRule type="duplicateValues" dxfId="2632" priority="625"/>
    <cfRule type="duplicateValues" dxfId="2631" priority="601"/>
  </conditionalFormatting>
  <conditionalFormatting sqref="C151">
    <cfRule type="duplicateValues" dxfId="2630" priority="616"/>
    <cfRule type="duplicateValues" dxfId="2629" priority="615"/>
    <cfRule type="duplicateValues" dxfId="2628" priority="614"/>
    <cfRule type="duplicateValues" dxfId="2627" priority="613"/>
    <cfRule type="duplicateValues" dxfId="2626" priority="598"/>
    <cfRule type="duplicateValues" dxfId="2625" priority="597"/>
    <cfRule type="duplicateValues" dxfId="2624" priority="612"/>
    <cfRule type="duplicateValues" dxfId="2623" priority="611"/>
    <cfRule type="duplicateValues" dxfId="2622" priority="610"/>
    <cfRule type="duplicateValues" dxfId="2621" priority="606"/>
    <cfRule type="duplicateValues" dxfId="2620" priority="623"/>
    <cfRule type="duplicateValues" dxfId="2619" priority="624"/>
    <cfRule type="duplicateValues" dxfId="2618" priority="620"/>
    <cfRule type="duplicateValues" dxfId="2617" priority="609"/>
    <cfRule type="duplicateValues" dxfId="2616" priority="605"/>
    <cfRule type="duplicateValues" dxfId="2615" priority="604"/>
    <cfRule type="duplicateValues" dxfId="2614" priority="603"/>
    <cfRule type="duplicateValues" dxfId="2613" priority="599"/>
    <cfRule type="duplicateValues" dxfId="2612" priority="600"/>
    <cfRule type="duplicateValues" dxfId="2611" priority="617"/>
    <cfRule type="duplicateValues" dxfId="2610" priority="618"/>
    <cfRule type="duplicateValues" dxfId="2609" priority="619"/>
    <cfRule type="duplicateValues" dxfId="2608" priority="621"/>
    <cfRule type="duplicateValues" dxfId="2607" priority="622"/>
    <cfRule type="duplicateValues" dxfId="2606" priority="608"/>
    <cfRule type="duplicateValues" dxfId="2605" priority="607"/>
  </conditionalFormatting>
  <conditionalFormatting sqref="C152:C154">
    <cfRule type="duplicateValues" dxfId="2604" priority="84"/>
  </conditionalFormatting>
  <conditionalFormatting sqref="C155">
    <cfRule type="duplicateValues" dxfId="2603" priority="374"/>
  </conditionalFormatting>
  <conditionalFormatting sqref="C156">
    <cfRule type="duplicateValues" dxfId="2602" priority="281"/>
    <cfRule type="duplicateValues" dxfId="2601" priority="283"/>
    <cfRule type="duplicateValues" dxfId="2600" priority="282"/>
  </conditionalFormatting>
  <conditionalFormatting sqref="C157:C158">
    <cfRule type="duplicateValues" dxfId="2599" priority="271"/>
    <cfRule type="duplicateValues" dxfId="2598" priority="272"/>
    <cfRule type="duplicateValues" dxfId="2597" priority="270"/>
  </conditionalFormatting>
  <conditionalFormatting sqref="C159">
    <cfRule type="duplicateValues" dxfId="2596" priority="269"/>
    <cfRule type="duplicateValues" dxfId="2595" priority="268"/>
    <cfRule type="duplicateValues" dxfId="2594" priority="267"/>
  </conditionalFormatting>
  <conditionalFormatting sqref="C161">
    <cfRule type="duplicateValues" dxfId="2593" priority="326"/>
  </conditionalFormatting>
  <conditionalFormatting sqref="C162:C163">
    <cfRule type="duplicateValues" dxfId="2592" priority="157"/>
    <cfRule type="duplicateValues" dxfId="2591" priority="155"/>
    <cfRule type="duplicateValues" dxfId="2590" priority="154"/>
    <cfRule type="duplicateValues" dxfId="2589" priority="156"/>
  </conditionalFormatting>
  <conditionalFormatting sqref="C165:C168">
    <cfRule type="duplicateValues" dxfId="2588" priority="98"/>
  </conditionalFormatting>
  <conditionalFormatting sqref="C169">
    <cfRule type="duplicateValues" dxfId="2587" priority="104"/>
    <cfRule type="duplicateValues" dxfId="2586" priority="105"/>
    <cfRule type="duplicateValues" dxfId="2585" priority="103"/>
    <cfRule type="duplicateValues" dxfId="2584" priority="99"/>
    <cfRule type="duplicateValues" dxfId="2583" priority="102"/>
    <cfRule type="duplicateValues" dxfId="2582" priority="101"/>
    <cfRule type="duplicateValues" dxfId="2581" priority="100"/>
  </conditionalFormatting>
  <conditionalFormatting sqref="C170:C171">
    <cfRule type="duplicateValues" dxfId="2580" priority="97"/>
  </conditionalFormatting>
  <conditionalFormatting sqref="C172:C173">
    <cfRule type="duplicateValues" dxfId="2579" priority="96"/>
  </conditionalFormatting>
  <conditionalFormatting sqref="C174">
    <cfRule type="duplicateValues" dxfId="2578" priority="95"/>
  </conditionalFormatting>
  <conditionalFormatting sqref="C175:C176">
    <cfRule type="duplicateValues" dxfId="2577" priority="1080"/>
  </conditionalFormatting>
  <conditionalFormatting sqref="C177">
    <cfRule type="duplicateValues" dxfId="2576" priority="1646"/>
    <cfRule type="duplicateValues" dxfId="2575" priority="1647"/>
    <cfRule type="duplicateValues" dxfId="2574" priority="1648"/>
    <cfRule type="duplicateValues" dxfId="2573" priority="1649"/>
  </conditionalFormatting>
  <conditionalFormatting sqref="C178:C179">
    <cfRule type="duplicateValues" dxfId="2572" priority="2549"/>
    <cfRule type="duplicateValues" dxfId="2571" priority="2548"/>
  </conditionalFormatting>
  <conditionalFormatting sqref="C181:C182">
    <cfRule type="duplicateValues" dxfId="2570" priority="55"/>
    <cfRule type="duplicateValues" dxfId="2569" priority="56"/>
  </conditionalFormatting>
  <conditionalFormatting sqref="C183:C184">
    <cfRule type="duplicateValues" dxfId="2568" priority="53"/>
    <cfRule type="duplicateValues" dxfId="2567" priority="54"/>
  </conditionalFormatting>
  <conditionalFormatting sqref="C185">
    <cfRule type="duplicateValues" dxfId="2566" priority="882"/>
    <cfRule type="duplicateValues" dxfId="2565" priority="883"/>
  </conditionalFormatting>
  <conditionalFormatting sqref="C186:C187">
    <cfRule type="duplicateValues" dxfId="2564" priority="4219"/>
    <cfRule type="duplicateValues" dxfId="2563" priority="4220"/>
    <cfRule type="duplicateValues" dxfId="2562" priority="4232"/>
    <cfRule type="duplicateValues" dxfId="2561" priority="4230"/>
    <cfRule type="duplicateValues" dxfId="2560" priority="4221"/>
    <cfRule type="duplicateValues" dxfId="2559" priority="4231"/>
    <cfRule type="duplicateValues" dxfId="2558" priority="4222"/>
    <cfRule type="duplicateValues" dxfId="2557" priority="4223"/>
    <cfRule type="duplicateValues" dxfId="2556" priority="4224"/>
    <cfRule type="duplicateValues" dxfId="2555" priority="4225"/>
    <cfRule type="duplicateValues" dxfId="2554" priority="4226"/>
    <cfRule type="duplicateValues" dxfId="2553" priority="4227"/>
    <cfRule type="duplicateValues" dxfId="2552" priority="4228"/>
    <cfRule type="duplicateValues" dxfId="2551" priority="4229"/>
  </conditionalFormatting>
  <conditionalFormatting sqref="C188">
    <cfRule type="duplicateValues" dxfId="2550" priority="1536"/>
  </conditionalFormatting>
  <conditionalFormatting sqref="C189">
    <cfRule type="duplicateValues" dxfId="2549" priority="1479"/>
  </conditionalFormatting>
  <conditionalFormatting sqref="C190">
    <cfRule type="duplicateValues" dxfId="2548" priority="927"/>
    <cfRule type="duplicateValues" dxfId="2547" priority="928"/>
  </conditionalFormatting>
  <conditionalFormatting sqref="C191 C270 C274 C242:C244 C246 C233 C240 C235:C236">
    <cfRule type="duplicateValues" dxfId="2546" priority="6392"/>
  </conditionalFormatting>
  <conditionalFormatting sqref="C192:C193">
    <cfRule type="duplicateValues" dxfId="2545" priority="315"/>
    <cfRule type="duplicateValues" dxfId="2544" priority="314"/>
    <cfRule type="duplicateValues" dxfId="2543" priority="313"/>
    <cfRule type="duplicateValues" dxfId="2542" priority="317"/>
    <cfRule type="duplicateValues" dxfId="2541" priority="316"/>
  </conditionalFormatting>
  <conditionalFormatting sqref="C194:C195">
    <cfRule type="duplicateValues" dxfId="2540" priority="738"/>
    <cfRule type="duplicateValues" dxfId="2539" priority="737"/>
    <cfRule type="duplicateValues" dxfId="2538" priority="755"/>
    <cfRule type="duplicateValues" dxfId="2537" priority="754"/>
    <cfRule type="duplicateValues" dxfId="2536" priority="753"/>
    <cfRule type="duplicateValues" dxfId="2535" priority="752"/>
    <cfRule type="duplicateValues" dxfId="2534" priority="751"/>
    <cfRule type="duplicateValues" dxfId="2533" priority="750"/>
    <cfRule type="duplicateValues" dxfId="2532" priority="749"/>
    <cfRule type="duplicateValues" dxfId="2531" priority="748"/>
    <cfRule type="duplicateValues" dxfId="2530" priority="747"/>
    <cfRule type="duplicateValues" dxfId="2529" priority="746"/>
    <cfRule type="duplicateValues" dxfId="2528" priority="742"/>
    <cfRule type="duplicateValues" dxfId="2527" priority="741"/>
    <cfRule type="duplicateValues" dxfId="2526" priority="740"/>
    <cfRule type="duplicateValues" dxfId="2525" priority="739"/>
    <cfRule type="duplicateValues" dxfId="2524" priority="756"/>
    <cfRule type="duplicateValues" dxfId="2523" priority="735"/>
    <cfRule type="duplicateValues" dxfId="2522" priority="736"/>
    <cfRule type="duplicateValues" dxfId="2521" priority="728"/>
    <cfRule type="duplicateValues" dxfId="2520" priority="729"/>
    <cfRule type="duplicateValues" dxfId="2519" priority="745"/>
    <cfRule type="duplicateValues" dxfId="2518" priority="744"/>
    <cfRule type="duplicateValues" dxfId="2517" priority="730"/>
    <cfRule type="duplicateValues" dxfId="2516" priority="731"/>
    <cfRule type="duplicateValues" dxfId="2515" priority="732"/>
    <cfRule type="duplicateValues" dxfId="2514" priority="733"/>
    <cfRule type="duplicateValues" dxfId="2513" priority="734"/>
    <cfRule type="duplicateValues" dxfId="2512" priority="743"/>
  </conditionalFormatting>
  <conditionalFormatting sqref="C196:C202">
    <cfRule type="duplicateValues" dxfId="2511" priority="1556"/>
  </conditionalFormatting>
  <conditionalFormatting sqref="C203 C210">
    <cfRule type="duplicateValues" dxfId="2510" priority="1558"/>
  </conditionalFormatting>
  <conditionalFormatting sqref="C203">
    <cfRule type="duplicateValues" dxfId="2509" priority="1562"/>
    <cfRule type="duplicateValues" dxfId="2508" priority="1561"/>
    <cfRule type="duplicateValues" dxfId="2507" priority="1560"/>
    <cfRule type="duplicateValues" dxfId="2506" priority="1559"/>
    <cfRule type="duplicateValues" dxfId="2505" priority="1557"/>
  </conditionalFormatting>
  <conditionalFormatting sqref="C204:C209">
    <cfRule type="duplicateValues" dxfId="2504" priority="1555"/>
  </conditionalFormatting>
  <conditionalFormatting sqref="C210">
    <cfRule type="duplicateValues" dxfId="2503" priority="1567"/>
    <cfRule type="duplicateValues" dxfId="2502" priority="1566"/>
    <cfRule type="duplicateValues" dxfId="2501" priority="1565"/>
    <cfRule type="duplicateValues" dxfId="2500" priority="1564"/>
    <cfRule type="duplicateValues" dxfId="2499" priority="1563"/>
    <cfRule type="duplicateValues" dxfId="2498" priority="1589"/>
    <cfRule type="duplicateValues" dxfId="2497" priority="1588"/>
    <cfRule type="duplicateValues" dxfId="2496" priority="1587"/>
    <cfRule type="duplicateValues" dxfId="2495" priority="1586"/>
    <cfRule type="duplicateValues" dxfId="2494" priority="1585"/>
    <cfRule type="duplicateValues" dxfId="2493" priority="1584"/>
    <cfRule type="duplicateValues" dxfId="2492" priority="1583"/>
    <cfRule type="duplicateValues" dxfId="2491" priority="1582"/>
    <cfRule type="duplicateValues" dxfId="2490" priority="1581"/>
    <cfRule type="duplicateValues" dxfId="2489" priority="1580"/>
    <cfRule type="duplicateValues" dxfId="2488" priority="1579"/>
    <cfRule type="duplicateValues" dxfId="2487" priority="1578"/>
    <cfRule type="duplicateValues" dxfId="2486" priority="1577"/>
    <cfRule type="duplicateValues" dxfId="2485" priority="1576"/>
    <cfRule type="duplicateValues" dxfId="2484" priority="1575"/>
    <cfRule type="duplicateValues" dxfId="2483" priority="1574"/>
    <cfRule type="duplicateValues" dxfId="2482" priority="1573"/>
    <cfRule type="duplicateValues" dxfId="2481" priority="1572"/>
    <cfRule type="duplicateValues" dxfId="2480" priority="1571"/>
    <cfRule type="duplicateValues" dxfId="2479" priority="1570"/>
    <cfRule type="duplicateValues" dxfId="2478" priority="1569"/>
    <cfRule type="duplicateValues" dxfId="2477" priority="1568"/>
  </conditionalFormatting>
  <conditionalFormatting sqref="C211:C220">
    <cfRule type="duplicateValues" dxfId="2476" priority="246"/>
    <cfRule type="duplicateValues" dxfId="2475" priority="245"/>
    <cfRule type="duplicateValues" dxfId="2474" priority="247"/>
  </conditionalFormatting>
  <conditionalFormatting sqref="C221">
    <cfRule type="duplicateValues" dxfId="2473" priority="248"/>
    <cfRule type="duplicateValues" dxfId="2472" priority="249"/>
    <cfRule type="duplicateValues" dxfId="2471" priority="250"/>
    <cfRule type="duplicateValues" dxfId="2470" priority="251"/>
    <cfRule type="duplicateValues" dxfId="2469" priority="252"/>
  </conditionalFormatting>
  <conditionalFormatting sqref="C222">
    <cfRule type="duplicateValues" dxfId="2468" priority="243"/>
    <cfRule type="duplicateValues" dxfId="2467" priority="244"/>
    <cfRule type="duplicateValues" dxfId="2466" priority="242"/>
  </conditionalFormatting>
  <conditionalFormatting sqref="C223">
    <cfRule type="duplicateValues" dxfId="2465" priority="16"/>
  </conditionalFormatting>
  <conditionalFormatting sqref="C224">
    <cfRule type="duplicateValues" dxfId="2464" priority="15"/>
  </conditionalFormatting>
  <conditionalFormatting sqref="C225:C227">
    <cfRule type="duplicateValues" dxfId="2463" priority="14"/>
  </conditionalFormatting>
  <conditionalFormatting sqref="C228">
    <cfRule type="duplicateValues" dxfId="2462" priority="23"/>
    <cfRule type="duplicateValues" dxfId="2461" priority="24"/>
    <cfRule type="duplicateValues" dxfId="2460" priority="25"/>
    <cfRule type="duplicateValues" dxfId="2459" priority="26"/>
    <cfRule type="duplicateValues" dxfId="2458" priority="27"/>
    <cfRule type="duplicateValues" dxfId="2457" priority="28"/>
    <cfRule type="duplicateValues" dxfId="2456" priority="29"/>
    <cfRule type="duplicateValues" dxfId="2455" priority="30"/>
    <cfRule type="duplicateValues" dxfId="2454" priority="31"/>
    <cfRule type="duplicateValues" dxfId="2453" priority="32"/>
    <cfRule type="duplicateValues" dxfId="2452" priority="33"/>
    <cfRule type="duplicateValues" dxfId="2451" priority="34"/>
    <cfRule type="duplicateValues" dxfId="2450" priority="35"/>
    <cfRule type="duplicateValues" dxfId="2449" priority="36"/>
    <cfRule type="duplicateValues" dxfId="2448" priority="38"/>
    <cfRule type="duplicateValues" dxfId="2447" priority="39"/>
    <cfRule type="duplicateValues" dxfId="2446" priority="40"/>
    <cfRule type="duplicateValues" dxfId="2445" priority="41"/>
    <cfRule type="duplicateValues" dxfId="2444" priority="42"/>
    <cfRule type="duplicateValues" dxfId="2443" priority="43"/>
    <cfRule type="duplicateValues" dxfId="2442" priority="44"/>
    <cfRule type="duplicateValues" dxfId="2441" priority="45"/>
    <cfRule type="duplicateValues" dxfId="2440" priority="46"/>
    <cfRule type="duplicateValues" dxfId="2439" priority="47"/>
    <cfRule type="duplicateValues" dxfId="2438" priority="48"/>
    <cfRule type="duplicateValues" dxfId="2437" priority="37"/>
    <cfRule type="duplicateValues" dxfId="2436" priority="17"/>
    <cfRule type="duplicateValues" dxfId="2435" priority="18"/>
    <cfRule type="duplicateValues" dxfId="2434" priority="19"/>
    <cfRule type="duplicateValues" dxfId="2433" priority="20"/>
    <cfRule type="duplicateValues" dxfId="2432" priority="21"/>
    <cfRule type="duplicateValues" dxfId="2431" priority="22"/>
  </conditionalFormatting>
  <conditionalFormatting sqref="C229:C232">
    <cfRule type="duplicateValues" dxfId="2430" priority="13"/>
  </conditionalFormatting>
  <conditionalFormatting sqref="C234">
    <cfRule type="duplicateValues" dxfId="2429" priority="2128"/>
    <cfRule type="duplicateValues" dxfId="2428" priority="2129"/>
    <cfRule type="duplicateValues" dxfId="2427" priority="2130"/>
  </conditionalFormatting>
  <conditionalFormatting sqref="C237:C239">
    <cfRule type="duplicateValues" dxfId="2426" priority="2727"/>
    <cfRule type="duplicateValues" dxfId="2425" priority="2726"/>
    <cfRule type="duplicateValues" dxfId="2424" priority="2725"/>
    <cfRule type="duplicateValues" dxfId="2423" priority="2729"/>
    <cfRule type="duplicateValues" dxfId="2422" priority="2724"/>
    <cfRule type="duplicateValues" dxfId="2421" priority="2723"/>
    <cfRule type="duplicateValues" dxfId="2420" priority="2722"/>
    <cfRule type="duplicateValues" dxfId="2419" priority="2721"/>
    <cfRule type="duplicateValues" dxfId="2418" priority="2720"/>
    <cfRule type="duplicateValues" dxfId="2417" priority="2728"/>
  </conditionalFormatting>
  <conditionalFormatting sqref="C241">
    <cfRule type="duplicateValues" dxfId="2416" priority="5976"/>
    <cfRule type="duplicateValues" dxfId="2415" priority="5975"/>
    <cfRule type="duplicateValues" dxfId="2414" priority="5973"/>
    <cfRule type="duplicateValues" dxfId="2413" priority="5974"/>
  </conditionalFormatting>
  <conditionalFormatting sqref="C245">
    <cfRule type="duplicateValues" dxfId="2412" priority="5938"/>
    <cfRule type="duplicateValues" dxfId="2411" priority="5939"/>
    <cfRule type="duplicateValues" dxfId="2410" priority="5940"/>
    <cfRule type="duplicateValues" dxfId="2409" priority="5941"/>
  </conditionalFormatting>
  <conditionalFormatting sqref="C247:C250">
    <cfRule type="duplicateValues" dxfId="2408" priority="77"/>
  </conditionalFormatting>
  <conditionalFormatting sqref="C251:C253">
    <cfRule type="duplicateValues" dxfId="2407" priority="76"/>
  </conditionalFormatting>
  <conditionalFormatting sqref="C254:C255">
    <cfRule type="duplicateValues" dxfId="2406" priority="78"/>
    <cfRule type="duplicateValues" dxfId="2405" priority="79"/>
    <cfRule type="duplicateValues" dxfId="2404" priority="80"/>
    <cfRule type="duplicateValues" dxfId="2403" priority="81"/>
    <cfRule type="duplicateValues" dxfId="2402" priority="82"/>
    <cfRule type="duplicateValues" dxfId="2401" priority="83"/>
  </conditionalFormatting>
  <conditionalFormatting sqref="C256:C257">
    <cfRule type="duplicateValues" dxfId="2400" priority="911"/>
  </conditionalFormatting>
  <conditionalFormatting sqref="C258">
    <cfRule type="duplicateValues" dxfId="2399" priority="2226"/>
    <cfRule type="duplicateValues" dxfId="2398" priority="2225"/>
  </conditionalFormatting>
  <conditionalFormatting sqref="C259">
    <cfRule type="duplicateValues" dxfId="2397" priority="16359"/>
  </conditionalFormatting>
  <conditionalFormatting sqref="C260">
    <cfRule type="duplicateValues" dxfId="2396" priority="6137"/>
    <cfRule type="duplicateValues" dxfId="2395" priority="6135"/>
    <cfRule type="duplicateValues" dxfId="2394" priority="6136"/>
    <cfRule type="duplicateValues" dxfId="2393" priority="6138"/>
  </conditionalFormatting>
  <conditionalFormatting sqref="C261:C263">
    <cfRule type="duplicateValues" dxfId="2392" priority="233"/>
    <cfRule type="duplicateValues" dxfId="2391" priority="234"/>
  </conditionalFormatting>
  <conditionalFormatting sqref="C264">
    <cfRule type="duplicateValues" dxfId="2390" priority="5010"/>
    <cfRule type="duplicateValues" dxfId="2389" priority="5016"/>
    <cfRule type="duplicateValues" dxfId="2388" priority="5012"/>
    <cfRule type="duplicateValues" dxfId="2387" priority="5008"/>
    <cfRule type="duplicateValues" dxfId="2386" priority="5004"/>
    <cfRule type="duplicateValues" dxfId="2385" priority="5005"/>
    <cfRule type="duplicateValues" dxfId="2384" priority="5006"/>
    <cfRule type="duplicateValues" dxfId="2383" priority="5007"/>
    <cfRule type="duplicateValues" dxfId="2382" priority="5009"/>
    <cfRule type="duplicateValues" dxfId="2381" priority="5011"/>
    <cfRule type="duplicateValues" dxfId="2380" priority="5013"/>
    <cfRule type="duplicateValues" dxfId="2379" priority="5014"/>
    <cfRule type="duplicateValues" dxfId="2378" priority="5015"/>
  </conditionalFormatting>
  <conditionalFormatting sqref="C265:C269">
    <cfRule type="duplicateValues" dxfId="2377" priority="293"/>
    <cfRule type="duplicateValues" dxfId="2376" priority="292"/>
    <cfRule type="duplicateValues" dxfId="2375" priority="291"/>
    <cfRule type="duplicateValues" dxfId="2374" priority="290"/>
    <cfRule type="duplicateValues" dxfId="2373" priority="289"/>
  </conditionalFormatting>
  <conditionalFormatting sqref="C271">
    <cfRule type="duplicateValues" dxfId="2372" priority="331"/>
  </conditionalFormatting>
  <conditionalFormatting sqref="C272:C273">
    <cfRule type="duplicateValues" dxfId="2371" priority="330"/>
  </conditionalFormatting>
  <conditionalFormatting sqref="C275:C277">
    <cfRule type="duplicateValues" dxfId="2370" priority="994"/>
    <cfRule type="duplicateValues" dxfId="2369" priority="992"/>
    <cfRule type="duplicateValues" dxfId="2368" priority="991"/>
    <cfRule type="duplicateValues" dxfId="2367" priority="990"/>
    <cfRule type="duplicateValues" dxfId="2366" priority="989"/>
    <cfRule type="duplicateValues" dxfId="2365" priority="988"/>
    <cfRule type="duplicateValues" dxfId="2364" priority="987"/>
    <cfRule type="duplicateValues" dxfId="2363" priority="993"/>
    <cfRule type="duplicateValues" dxfId="2362" priority="986"/>
    <cfRule type="duplicateValues" dxfId="2361" priority="998"/>
    <cfRule type="duplicateValues" dxfId="2360" priority="981"/>
    <cfRule type="duplicateValues" dxfId="2359" priority="982"/>
    <cfRule type="duplicateValues" dxfId="2358" priority="983"/>
    <cfRule type="duplicateValues" dxfId="2357" priority="984"/>
    <cfRule type="duplicateValues" dxfId="2356" priority="985"/>
    <cfRule type="duplicateValues" dxfId="2355" priority="999"/>
    <cfRule type="duplicateValues" dxfId="2354" priority="997"/>
    <cfRule type="duplicateValues" dxfId="2353" priority="996"/>
    <cfRule type="duplicateValues" dxfId="2352" priority="995"/>
  </conditionalFormatting>
  <conditionalFormatting sqref="C278:C279">
    <cfRule type="duplicateValues" dxfId="2351" priority="121"/>
  </conditionalFormatting>
  <conditionalFormatting sqref="C280">
    <cfRule type="duplicateValues" dxfId="2350" priority="120"/>
  </conditionalFormatting>
  <conditionalFormatting sqref="C281">
    <cfRule type="duplicateValues" dxfId="2349" priority="294"/>
    <cfRule type="duplicateValues" dxfId="2348" priority="295"/>
    <cfRule type="duplicateValues" dxfId="2347" priority="296"/>
    <cfRule type="duplicateValues" dxfId="2346" priority="297"/>
    <cfRule type="duplicateValues" dxfId="2345" priority="298"/>
  </conditionalFormatting>
  <conditionalFormatting sqref="C282">
    <cfRule type="duplicateValues" dxfId="2344" priority="698"/>
  </conditionalFormatting>
  <conditionalFormatting sqref="C283">
    <cfRule type="duplicateValues" dxfId="2343" priority="1750"/>
    <cfRule type="duplicateValues" dxfId="2342" priority="1749"/>
    <cfRule type="duplicateValues" dxfId="2341" priority="1748"/>
    <cfRule type="duplicateValues" dxfId="2340" priority="1747"/>
    <cfRule type="duplicateValues" dxfId="2339" priority="1746"/>
  </conditionalFormatting>
  <conditionalFormatting sqref="C284:C285">
    <cfRule type="duplicateValues" dxfId="2338" priority="1634"/>
    <cfRule type="duplicateValues" dxfId="2337" priority="1633"/>
    <cfRule type="duplicateValues" dxfId="2336" priority="1635"/>
    <cfRule type="duplicateValues" dxfId="2335" priority="1636"/>
    <cfRule type="duplicateValues" dxfId="2334" priority="1637"/>
    <cfRule type="duplicateValues" dxfId="2333" priority="1630"/>
    <cfRule type="duplicateValues" dxfId="2332" priority="1631"/>
    <cfRule type="duplicateValues" dxfId="2331" priority="1632"/>
  </conditionalFormatting>
  <conditionalFormatting sqref="C286:C294">
    <cfRule type="duplicateValues" dxfId="2330" priority="166"/>
    <cfRule type="duplicateValues" dxfId="2329" priority="165"/>
    <cfRule type="duplicateValues" dxfId="2328" priority="164"/>
  </conditionalFormatting>
  <conditionalFormatting sqref="C295:C296 C298:C299">
    <cfRule type="duplicateValues" dxfId="2327" priority="1661"/>
    <cfRule type="duplicateValues" dxfId="2326" priority="1660"/>
    <cfRule type="duplicateValues" dxfId="2325" priority="1658"/>
    <cfRule type="duplicateValues" dxfId="2324" priority="1659"/>
  </conditionalFormatting>
  <conditionalFormatting sqref="C297">
    <cfRule type="duplicateValues" dxfId="2323" priority="10"/>
  </conditionalFormatting>
  <conditionalFormatting sqref="C300">
    <cfRule type="duplicateValues" dxfId="2322" priority="2614"/>
  </conditionalFormatting>
  <conditionalFormatting sqref="C301">
    <cfRule type="duplicateValues" dxfId="2321" priority="2613"/>
  </conditionalFormatting>
  <conditionalFormatting sqref="C302">
    <cfRule type="duplicateValues" dxfId="2320" priority="881"/>
  </conditionalFormatting>
  <conditionalFormatting sqref="C304">
    <cfRule type="duplicateValues" dxfId="2319" priority="567"/>
    <cfRule type="duplicateValues" dxfId="2318" priority="568"/>
    <cfRule type="duplicateValues" dxfId="2317" priority="569"/>
    <cfRule type="duplicateValues" dxfId="2316" priority="571"/>
    <cfRule type="duplicateValues" dxfId="2315" priority="572"/>
    <cfRule type="duplicateValues" dxfId="2314" priority="573"/>
    <cfRule type="duplicateValues" dxfId="2313" priority="574"/>
    <cfRule type="duplicateValues" dxfId="2312" priority="570"/>
    <cfRule type="duplicateValues" dxfId="2311" priority="575"/>
    <cfRule type="duplicateValues" dxfId="2310" priority="577"/>
    <cfRule type="duplicateValues" dxfId="2309" priority="578"/>
    <cfRule type="duplicateValues" dxfId="2308" priority="579"/>
    <cfRule type="duplicateValues" dxfId="2307" priority="580"/>
    <cfRule type="duplicateValues" dxfId="2306" priority="581"/>
    <cfRule type="duplicateValues" dxfId="2305" priority="588"/>
    <cfRule type="duplicateValues" dxfId="2304" priority="582"/>
    <cfRule type="duplicateValues" dxfId="2303" priority="583"/>
    <cfRule type="duplicateValues" dxfId="2302" priority="595"/>
    <cfRule type="duplicateValues" dxfId="2301" priority="591"/>
    <cfRule type="duplicateValues" dxfId="2300" priority="594"/>
    <cfRule type="duplicateValues" dxfId="2299" priority="593"/>
    <cfRule type="duplicateValues" dxfId="2298" priority="592"/>
    <cfRule type="duplicateValues" dxfId="2297" priority="590"/>
    <cfRule type="duplicateValues" dxfId="2296" priority="589"/>
    <cfRule type="duplicateValues" dxfId="2295" priority="587"/>
    <cfRule type="duplicateValues" dxfId="2294" priority="586"/>
    <cfRule type="duplicateValues" dxfId="2293" priority="585"/>
    <cfRule type="duplicateValues" dxfId="2292" priority="584"/>
    <cfRule type="duplicateValues" dxfId="2291" priority="576"/>
  </conditionalFormatting>
  <conditionalFormatting sqref="C305">
    <cfRule type="duplicateValues" dxfId="2290" priority="224"/>
    <cfRule type="duplicateValues" dxfId="2289" priority="223"/>
    <cfRule type="duplicateValues" dxfId="2288" priority="222"/>
    <cfRule type="duplicateValues" dxfId="2287" priority="232"/>
    <cfRule type="duplicateValues" dxfId="2286" priority="231"/>
    <cfRule type="duplicateValues" dxfId="2285" priority="230"/>
    <cfRule type="duplicateValues" dxfId="2284" priority="215"/>
    <cfRule type="duplicateValues" dxfId="2283" priority="228"/>
    <cfRule type="duplicateValues" dxfId="2282" priority="227"/>
    <cfRule type="duplicateValues" dxfId="2281" priority="226"/>
    <cfRule type="duplicateValues" dxfId="2280" priority="208"/>
    <cfRule type="duplicateValues" dxfId="2279" priority="209"/>
    <cfRule type="duplicateValues" dxfId="2278" priority="210"/>
    <cfRule type="duplicateValues" dxfId="2277" priority="214"/>
    <cfRule type="duplicateValues" dxfId="2276" priority="213"/>
    <cfRule type="duplicateValues" dxfId="2275" priority="211"/>
    <cfRule type="duplicateValues" dxfId="2274" priority="218"/>
    <cfRule type="duplicateValues" dxfId="2273" priority="225"/>
    <cfRule type="duplicateValues" dxfId="2272" priority="216"/>
    <cfRule type="duplicateValues" dxfId="2271" priority="219"/>
    <cfRule type="duplicateValues" dxfId="2270" priority="217"/>
    <cfRule type="duplicateValues" dxfId="2269" priority="203"/>
    <cfRule type="duplicateValues" dxfId="2268" priority="229"/>
    <cfRule type="duplicateValues" dxfId="2267" priority="205"/>
    <cfRule type="duplicateValues" dxfId="2266" priority="206"/>
    <cfRule type="duplicateValues" dxfId="2265" priority="207"/>
    <cfRule type="duplicateValues" dxfId="2264" priority="220"/>
    <cfRule type="duplicateValues" dxfId="2263" priority="221"/>
    <cfRule type="duplicateValues" dxfId="2262" priority="212"/>
    <cfRule type="duplicateValues" dxfId="2261" priority="204"/>
  </conditionalFormatting>
  <conditionalFormatting sqref="C306">
    <cfRule type="duplicateValues" dxfId="2260" priority="488"/>
    <cfRule type="duplicateValues" dxfId="2259" priority="487"/>
    <cfRule type="duplicateValues" dxfId="2258" priority="486"/>
    <cfRule type="duplicateValues" dxfId="2257" priority="485"/>
    <cfRule type="duplicateValues" dxfId="2256" priority="484"/>
    <cfRule type="duplicateValues" dxfId="2255" priority="483"/>
    <cfRule type="duplicateValues" dxfId="2254" priority="482"/>
    <cfRule type="duplicateValues" dxfId="2253" priority="481"/>
    <cfRule type="duplicateValues" dxfId="2252" priority="480"/>
    <cfRule type="duplicateValues" dxfId="2251" priority="493"/>
    <cfRule type="duplicateValues" dxfId="2250" priority="508"/>
    <cfRule type="duplicateValues" dxfId="2249" priority="507"/>
    <cfRule type="duplicateValues" dxfId="2248" priority="506"/>
    <cfRule type="duplicateValues" dxfId="2247" priority="505"/>
    <cfRule type="duplicateValues" dxfId="2246" priority="504"/>
    <cfRule type="duplicateValues" dxfId="2245" priority="503"/>
    <cfRule type="duplicateValues" dxfId="2244" priority="502"/>
    <cfRule type="duplicateValues" dxfId="2243" priority="501"/>
    <cfRule type="duplicateValues" dxfId="2242" priority="500"/>
    <cfRule type="duplicateValues" dxfId="2241" priority="499"/>
    <cfRule type="duplicateValues" dxfId="2240" priority="498"/>
    <cfRule type="duplicateValues" dxfId="2239" priority="497"/>
    <cfRule type="duplicateValues" dxfId="2238" priority="496"/>
    <cfRule type="duplicateValues" dxfId="2237" priority="495"/>
    <cfRule type="duplicateValues" dxfId="2236" priority="494"/>
    <cfRule type="duplicateValues" dxfId="2235" priority="492"/>
    <cfRule type="duplicateValues" dxfId="2234" priority="491"/>
    <cfRule type="duplicateValues" dxfId="2233" priority="490"/>
    <cfRule type="duplicateValues" dxfId="2232" priority="489"/>
  </conditionalFormatting>
  <conditionalFormatting sqref="C307 C311 C316:C317 C313 C332">
    <cfRule type="duplicateValues" dxfId="2231" priority="1451"/>
    <cfRule type="duplicateValues" dxfId="2230" priority="1450"/>
    <cfRule type="duplicateValues" dxfId="2229" priority="1452"/>
  </conditionalFormatting>
  <conditionalFormatting sqref="C307 C316:C317 C311 C313 C332">
    <cfRule type="duplicateValues" dxfId="2228" priority="1449"/>
  </conditionalFormatting>
  <conditionalFormatting sqref="C307">
    <cfRule type="duplicateValues" dxfId="2227" priority="1453"/>
  </conditionalFormatting>
  <conditionalFormatting sqref="C308">
    <cfRule type="duplicateValues" dxfId="2226" priority="401"/>
    <cfRule type="duplicateValues" dxfId="2225" priority="380"/>
    <cfRule type="duplicateValues" dxfId="2224" priority="399"/>
    <cfRule type="duplicateValues" dxfId="2223" priority="402"/>
    <cfRule type="duplicateValues" dxfId="2222" priority="403"/>
    <cfRule type="duplicateValues" dxfId="2221" priority="407"/>
    <cfRule type="duplicateValues" dxfId="2220" priority="400"/>
    <cfRule type="duplicateValues" dxfId="2219" priority="398"/>
    <cfRule type="duplicateValues" dxfId="2218" priority="404"/>
    <cfRule type="duplicateValues" dxfId="2217" priority="405"/>
    <cfRule type="duplicateValues" dxfId="2216" priority="406"/>
    <cfRule type="duplicateValues" dxfId="2215" priority="397"/>
    <cfRule type="duplicateValues" dxfId="2214" priority="396"/>
    <cfRule type="duplicateValues" dxfId="2213" priority="408"/>
    <cfRule type="duplicateValues" dxfId="2212" priority="395"/>
    <cfRule type="duplicateValues" dxfId="2211" priority="394"/>
    <cfRule type="duplicateValues" dxfId="2210" priority="393"/>
    <cfRule type="duplicateValues" dxfId="2209" priority="392"/>
    <cfRule type="duplicateValues" dxfId="2208" priority="391"/>
    <cfRule type="duplicateValues" dxfId="2207" priority="390"/>
    <cfRule type="duplicateValues" dxfId="2206" priority="389"/>
    <cfRule type="duplicateValues" dxfId="2205" priority="388"/>
    <cfRule type="duplicateValues" dxfId="2204" priority="382"/>
    <cfRule type="duplicateValues" dxfId="2203" priority="387"/>
    <cfRule type="duplicateValues" dxfId="2202" priority="386"/>
    <cfRule type="duplicateValues" dxfId="2201" priority="385"/>
    <cfRule type="duplicateValues" dxfId="2200" priority="384"/>
    <cfRule type="duplicateValues" dxfId="2199" priority="383"/>
    <cfRule type="duplicateValues" dxfId="2198" priority="381"/>
  </conditionalFormatting>
  <conditionalFormatting sqref="C309">
    <cfRule type="duplicateValues" dxfId="2197" priority="170"/>
  </conditionalFormatting>
  <conditionalFormatting sqref="C310">
    <cfRule type="duplicateValues" dxfId="2196" priority="169"/>
  </conditionalFormatting>
  <conditionalFormatting sqref="C311">
    <cfRule type="duplicateValues" dxfId="2195" priority="1368"/>
    <cfRule type="duplicateValues" dxfId="2194" priority="1369"/>
    <cfRule type="duplicateValues" dxfId="2193" priority="1370"/>
    <cfRule type="duplicateValues" dxfId="2192" priority="1371"/>
    <cfRule type="duplicateValues" dxfId="2191" priority="1367"/>
    <cfRule type="duplicateValues" dxfId="2190" priority="1366"/>
    <cfRule type="duplicateValues" dxfId="2189" priority="1365"/>
    <cfRule type="duplicateValues" dxfId="2188" priority="1364"/>
    <cfRule type="duplicateValues" dxfId="2187" priority="1363"/>
    <cfRule type="duplicateValues" dxfId="2186" priority="1362"/>
    <cfRule type="duplicateValues" dxfId="2185" priority="1361"/>
    <cfRule type="duplicateValues" dxfId="2184" priority="1360"/>
  </conditionalFormatting>
  <conditionalFormatting sqref="C312">
    <cfRule type="duplicateValues" dxfId="2183" priority="131"/>
    <cfRule type="duplicateValues" dxfId="2182" priority="133"/>
    <cfRule type="duplicateValues" dxfId="2181" priority="132"/>
  </conditionalFormatting>
  <conditionalFormatting sqref="C313">
    <cfRule type="duplicateValues" dxfId="2180" priority="1357"/>
    <cfRule type="duplicateValues" dxfId="2179" priority="1356"/>
    <cfRule type="duplicateValues" dxfId="2178" priority="1355"/>
  </conditionalFormatting>
  <conditionalFormatting sqref="C314">
    <cfRule type="duplicateValues" dxfId="2177" priority="371"/>
    <cfRule type="duplicateValues" dxfId="2176" priority="372"/>
    <cfRule type="duplicateValues" dxfId="2175" priority="353"/>
    <cfRule type="duplicateValues" dxfId="2174" priority="373"/>
    <cfRule type="duplicateValues" dxfId="2173" priority="345"/>
    <cfRule type="duplicateValues" dxfId="2172" priority="346"/>
    <cfRule type="duplicateValues" dxfId="2171" priority="347"/>
    <cfRule type="duplicateValues" dxfId="2170" priority="348"/>
    <cfRule type="duplicateValues" dxfId="2169" priority="349"/>
    <cfRule type="duplicateValues" dxfId="2168" priority="351"/>
    <cfRule type="duplicateValues" dxfId="2167" priority="352"/>
    <cfRule type="duplicateValues" dxfId="2166" priority="354"/>
    <cfRule type="duplicateValues" dxfId="2165" priority="355"/>
    <cfRule type="duplicateValues" dxfId="2164" priority="356"/>
    <cfRule type="duplicateValues" dxfId="2163" priority="357"/>
    <cfRule type="duplicateValues" dxfId="2162" priority="350"/>
    <cfRule type="duplicateValues" dxfId="2161" priority="358"/>
    <cfRule type="duplicateValues" dxfId="2160" priority="359"/>
    <cfRule type="duplicateValues" dxfId="2159" priority="360"/>
    <cfRule type="duplicateValues" dxfId="2158" priority="361"/>
    <cfRule type="duplicateValues" dxfId="2157" priority="362"/>
    <cfRule type="duplicateValues" dxfId="2156" priority="363"/>
    <cfRule type="duplicateValues" dxfId="2155" priority="364"/>
    <cfRule type="duplicateValues" dxfId="2154" priority="365"/>
    <cfRule type="duplicateValues" dxfId="2153" priority="366"/>
    <cfRule type="duplicateValues" dxfId="2152" priority="367"/>
    <cfRule type="duplicateValues" dxfId="2151" priority="368"/>
    <cfRule type="duplicateValues" dxfId="2150" priority="369"/>
    <cfRule type="duplicateValues" dxfId="2149" priority="370"/>
  </conditionalFormatting>
  <conditionalFormatting sqref="C315">
    <cfRule type="duplicateValues" dxfId="2148" priority="136"/>
    <cfRule type="duplicateValues" dxfId="2147" priority="137"/>
  </conditionalFormatting>
  <conditionalFormatting sqref="C316 C307 C332">
    <cfRule type="duplicateValues" dxfId="2146" priority="1441"/>
  </conditionalFormatting>
  <conditionalFormatting sqref="C316 C307">
    <cfRule type="duplicateValues" dxfId="2145" priority="1437"/>
  </conditionalFormatting>
  <conditionalFormatting sqref="C316">
    <cfRule type="duplicateValues" dxfId="2144" priority="1428"/>
    <cfRule type="duplicateValues" dxfId="2143" priority="1438"/>
    <cfRule type="duplicateValues" dxfId="2142" priority="1440"/>
    <cfRule type="duplicateValues" dxfId="2141" priority="1429"/>
    <cfRule type="duplicateValues" dxfId="2140" priority="1436"/>
    <cfRule type="duplicateValues" dxfId="2139" priority="1435"/>
    <cfRule type="duplicateValues" dxfId="2138" priority="1430"/>
    <cfRule type="duplicateValues" dxfId="2137" priority="1439"/>
    <cfRule type="duplicateValues" dxfId="2136" priority="1427"/>
    <cfRule type="duplicateValues" dxfId="2135" priority="1426"/>
    <cfRule type="duplicateValues" dxfId="2134" priority="1425"/>
    <cfRule type="duplicateValues" dxfId="2133" priority="1434"/>
    <cfRule type="duplicateValues" dxfId="2132" priority="1433"/>
    <cfRule type="duplicateValues" dxfId="2131" priority="1432"/>
    <cfRule type="duplicateValues" dxfId="2130" priority="1431"/>
  </conditionalFormatting>
  <conditionalFormatting sqref="C316:C317 C307 C311 C313">
    <cfRule type="duplicateValues" dxfId="2129" priority="1354"/>
  </conditionalFormatting>
  <conditionalFormatting sqref="C316:C317 C307 C311 C332">
    <cfRule type="duplicateValues" dxfId="2128" priority="1448"/>
  </conditionalFormatting>
  <conditionalFormatting sqref="C316:C317 C307 C332">
    <cfRule type="duplicateValues" dxfId="2127" priority="1442"/>
  </conditionalFormatting>
  <conditionalFormatting sqref="C316:C317 C311 C313 C307 C332">
    <cfRule type="duplicateValues" dxfId="2126" priority="1312"/>
  </conditionalFormatting>
  <conditionalFormatting sqref="C316:C317">
    <cfRule type="duplicateValues" dxfId="2125" priority="1445"/>
    <cfRule type="duplicateValues" dxfId="2124" priority="1443"/>
  </conditionalFormatting>
  <conditionalFormatting sqref="C317">
    <cfRule type="duplicateValues" dxfId="2123" priority="1387"/>
    <cfRule type="duplicateValues" dxfId="2122" priority="1386"/>
    <cfRule type="duplicateValues" dxfId="2121" priority="1378"/>
    <cfRule type="duplicateValues" dxfId="2120" priority="1379"/>
    <cfRule type="duplicateValues" dxfId="2119" priority="1380"/>
    <cfRule type="duplicateValues" dxfId="2118" priority="1381"/>
    <cfRule type="duplicateValues" dxfId="2117" priority="1382"/>
    <cfRule type="duplicateValues" dxfId="2116" priority="1377"/>
    <cfRule type="duplicateValues" dxfId="2115" priority="1374"/>
    <cfRule type="duplicateValues" dxfId="2114" priority="1373"/>
    <cfRule type="duplicateValues" dxfId="2113" priority="1376"/>
    <cfRule type="duplicateValues" dxfId="2112" priority="1383"/>
    <cfRule type="duplicateValues" dxfId="2111" priority="1384"/>
    <cfRule type="duplicateValues" dxfId="2110" priority="1385"/>
    <cfRule type="duplicateValues" dxfId="2109" priority="1372"/>
    <cfRule type="duplicateValues" dxfId="2108" priority="1375"/>
    <cfRule type="duplicateValues" dxfId="2107" priority="1388"/>
  </conditionalFormatting>
  <conditionalFormatting sqref="C318">
    <cfRule type="duplicateValues" dxfId="2106" priority="75"/>
  </conditionalFormatting>
  <conditionalFormatting sqref="C319 C322">
    <cfRule type="duplicateValues" dxfId="2105" priority="74"/>
  </conditionalFormatting>
  <conditionalFormatting sqref="C320:C321">
    <cfRule type="duplicateValues" dxfId="2104" priority="49"/>
    <cfRule type="duplicateValues" dxfId="2103" priority="50"/>
  </conditionalFormatting>
  <conditionalFormatting sqref="C323:C326">
    <cfRule type="duplicateValues" dxfId="2102" priority="947"/>
    <cfRule type="duplicateValues" dxfId="2101" priority="953"/>
    <cfRule type="duplicateValues" dxfId="2100" priority="933"/>
    <cfRule type="duplicateValues" dxfId="2099" priority="954"/>
    <cfRule type="duplicateValues" dxfId="2098" priority="955"/>
    <cfRule type="duplicateValues" dxfId="2097" priority="930"/>
    <cfRule type="duplicateValues" dxfId="2096" priority="931"/>
    <cfRule type="duplicateValues" dxfId="2095" priority="932"/>
    <cfRule type="duplicateValues" dxfId="2094" priority="956"/>
    <cfRule type="duplicateValues" dxfId="2093" priority="934"/>
    <cfRule type="duplicateValues" dxfId="2092" priority="935"/>
    <cfRule type="duplicateValues" dxfId="2091" priority="936"/>
    <cfRule type="duplicateValues" dxfId="2090" priority="937"/>
    <cfRule type="duplicateValues" dxfId="2089" priority="938"/>
    <cfRule type="duplicateValues" dxfId="2088" priority="939"/>
    <cfRule type="duplicateValues" dxfId="2087" priority="940"/>
    <cfRule type="duplicateValues" dxfId="2086" priority="941"/>
    <cfRule type="duplicateValues" dxfId="2085" priority="942"/>
    <cfRule type="duplicateValues" dxfId="2084" priority="944"/>
    <cfRule type="duplicateValues" dxfId="2083" priority="945"/>
    <cfRule type="duplicateValues" dxfId="2082" priority="943"/>
    <cfRule type="duplicateValues" dxfId="2081" priority="946"/>
    <cfRule type="duplicateValues" dxfId="2080" priority="952"/>
    <cfRule type="duplicateValues" dxfId="2079" priority="929"/>
    <cfRule type="duplicateValues" dxfId="2078" priority="948"/>
    <cfRule type="duplicateValues" dxfId="2077" priority="949"/>
    <cfRule type="duplicateValues" dxfId="2076" priority="950"/>
    <cfRule type="duplicateValues" dxfId="2075" priority="951"/>
  </conditionalFormatting>
  <conditionalFormatting sqref="C330">
    <cfRule type="duplicateValues" dxfId="2074" priority="1"/>
    <cfRule type="duplicateValues" dxfId="2073" priority="2"/>
  </conditionalFormatting>
  <conditionalFormatting sqref="C332">
    <cfRule type="duplicateValues" dxfId="2072" priority="1413"/>
    <cfRule type="duplicateValues" dxfId="2071" priority="1412"/>
    <cfRule type="duplicateValues" dxfId="2070" priority="1414"/>
    <cfRule type="duplicateValues" dxfId="2069" priority="1410"/>
    <cfRule type="duplicateValues" dxfId="2068" priority="1454"/>
    <cfRule type="duplicateValues" dxfId="2067" priority="1411"/>
  </conditionalFormatting>
  <conditionalFormatting sqref="C333">
    <cfRule type="duplicateValues" dxfId="2066" priority="111"/>
    <cfRule type="duplicateValues" dxfId="2065" priority="112"/>
    <cfRule type="duplicateValues" dxfId="2064" priority="110"/>
  </conditionalFormatting>
  <conditionalFormatting sqref="C335">
    <cfRule type="duplicateValues" dxfId="2063" priority="1307"/>
    <cfRule type="duplicateValues" dxfId="2062" priority="1308"/>
    <cfRule type="duplicateValues" dxfId="2061" priority="1309"/>
    <cfRule type="duplicateValues" dxfId="2060" priority="1310"/>
    <cfRule type="duplicateValues" dxfId="2059" priority="1311"/>
  </conditionalFormatting>
  <conditionalFormatting sqref="C337:C338">
    <cfRule type="duplicateValues" dxfId="2058" priority="544"/>
    <cfRule type="duplicateValues" dxfId="2057" priority="543"/>
    <cfRule type="duplicateValues" dxfId="2056" priority="542"/>
    <cfRule type="duplicateValues" dxfId="2055" priority="541"/>
    <cfRule type="duplicateValues" dxfId="2054" priority="540"/>
    <cfRule type="duplicateValues" dxfId="2053" priority="539"/>
    <cfRule type="duplicateValues" dxfId="2052" priority="538"/>
    <cfRule type="duplicateValues" dxfId="2051" priority="559"/>
    <cfRule type="duplicateValues" dxfId="2050" priority="566"/>
    <cfRule type="duplicateValues" dxfId="2049" priority="565"/>
    <cfRule type="duplicateValues" dxfId="2048" priority="564"/>
    <cfRule type="duplicateValues" dxfId="2047" priority="563"/>
    <cfRule type="duplicateValues" dxfId="2046" priority="562"/>
    <cfRule type="duplicateValues" dxfId="2045" priority="561"/>
    <cfRule type="duplicateValues" dxfId="2044" priority="560"/>
    <cfRule type="duplicateValues" dxfId="2043" priority="558"/>
    <cfRule type="duplicateValues" dxfId="2042" priority="557"/>
    <cfRule type="duplicateValues" dxfId="2041" priority="556"/>
    <cfRule type="duplicateValues" dxfId="2040" priority="555"/>
    <cfRule type="duplicateValues" dxfId="2039" priority="554"/>
    <cfRule type="duplicateValues" dxfId="2038" priority="553"/>
    <cfRule type="duplicateValues" dxfId="2037" priority="552"/>
    <cfRule type="duplicateValues" dxfId="2036" priority="551"/>
    <cfRule type="duplicateValues" dxfId="2035" priority="550"/>
    <cfRule type="duplicateValues" dxfId="2034" priority="549"/>
    <cfRule type="duplicateValues" dxfId="2033" priority="548"/>
    <cfRule type="duplicateValues" dxfId="2032" priority="547"/>
    <cfRule type="duplicateValues" dxfId="2031" priority="546"/>
    <cfRule type="duplicateValues" dxfId="2030" priority="545"/>
  </conditionalFormatting>
  <conditionalFormatting sqref="C339">
    <cfRule type="duplicateValues" dxfId="2029" priority="148"/>
    <cfRule type="duplicateValues" dxfId="2028" priority="149"/>
  </conditionalFormatting>
  <conditionalFormatting sqref="C340:C342">
    <cfRule type="duplicateValues" dxfId="2027" priority="146"/>
    <cfRule type="duplicateValues" dxfId="2026" priority="147"/>
  </conditionalFormatting>
  <conditionalFormatting sqref="C343">
    <cfRule type="duplicateValues" dxfId="2025" priority="144"/>
    <cfRule type="duplicateValues" dxfId="2024" priority="145"/>
  </conditionalFormatting>
  <conditionalFormatting sqref="C344">
    <cfRule type="duplicateValues" dxfId="2023" priority="651"/>
    <cfRule type="duplicateValues" dxfId="2022" priority="652"/>
    <cfRule type="duplicateValues" dxfId="2021" priority="653"/>
    <cfRule type="duplicateValues" dxfId="2020" priority="654"/>
    <cfRule type="duplicateValues" dxfId="2019" priority="640"/>
    <cfRule type="duplicateValues" dxfId="2018" priority="641"/>
    <cfRule type="duplicateValues" dxfId="2017" priority="642"/>
    <cfRule type="duplicateValues" dxfId="2016" priority="650"/>
    <cfRule type="duplicateValues" dxfId="2015" priority="645"/>
    <cfRule type="duplicateValues" dxfId="2014" priority="647"/>
    <cfRule type="duplicateValues" dxfId="2013" priority="646"/>
    <cfRule type="duplicateValues" dxfId="2012" priority="659"/>
    <cfRule type="duplicateValues" dxfId="2011" priority="644"/>
    <cfRule type="duplicateValues" dxfId="2010" priority="657"/>
    <cfRule type="duplicateValues" dxfId="2009" priority="643"/>
    <cfRule type="duplicateValues" dxfId="2008" priority="639"/>
    <cfRule type="duplicateValues" dxfId="2007" priority="648"/>
    <cfRule type="duplicateValues" dxfId="2006" priority="649"/>
    <cfRule type="duplicateValues" dxfId="2005" priority="658"/>
    <cfRule type="duplicateValues" dxfId="2004" priority="656"/>
    <cfRule type="duplicateValues" dxfId="2003" priority="655"/>
    <cfRule type="duplicateValues" dxfId="2002" priority="635"/>
    <cfRule type="duplicateValues" dxfId="2001" priority="638"/>
    <cfRule type="duplicateValues" dxfId="2000" priority="637"/>
    <cfRule type="duplicateValues" dxfId="1999" priority="636"/>
    <cfRule type="duplicateValues" dxfId="1998" priority="634"/>
    <cfRule type="duplicateValues" dxfId="1997" priority="633"/>
    <cfRule type="duplicateValues" dxfId="1996" priority="632"/>
    <cfRule type="duplicateValues" dxfId="1995" priority="631"/>
  </conditionalFormatting>
  <conditionalFormatting sqref="C345">
    <cfRule type="duplicateValues" dxfId="1994" priority="413"/>
    <cfRule type="duplicateValues" dxfId="1993" priority="414"/>
    <cfRule type="duplicateValues" dxfId="1992" priority="415"/>
    <cfRule type="duplicateValues" dxfId="1991" priority="416"/>
    <cfRule type="duplicateValues" dxfId="1990" priority="417"/>
    <cfRule type="duplicateValues" dxfId="1989" priority="420"/>
    <cfRule type="duplicateValues" dxfId="1988" priority="421"/>
    <cfRule type="duplicateValues" dxfId="1987" priority="418"/>
    <cfRule type="duplicateValues" dxfId="1986" priority="427"/>
    <cfRule type="duplicateValues" dxfId="1985" priority="426"/>
    <cfRule type="duplicateValues" dxfId="1984" priority="422"/>
    <cfRule type="duplicateValues" dxfId="1983" priority="423"/>
    <cfRule type="duplicateValues" dxfId="1982" priority="428"/>
    <cfRule type="duplicateValues" dxfId="1981" priority="429"/>
    <cfRule type="duplicateValues" dxfId="1980" priority="430"/>
    <cfRule type="duplicateValues" dxfId="1979" priority="437"/>
    <cfRule type="duplicateValues" dxfId="1978" priority="436"/>
    <cfRule type="duplicateValues" dxfId="1977" priority="435"/>
    <cfRule type="duplicateValues" dxfId="1976" priority="431"/>
    <cfRule type="duplicateValues" dxfId="1975" priority="433"/>
    <cfRule type="duplicateValues" dxfId="1974" priority="432"/>
    <cfRule type="duplicateValues" dxfId="1973" priority="424"/>
    <cfRule type="duplicateValues" dxfId="1972" priority="425"/>
    <cfRule type="duplicateValues" dxfId="1971" priority="409"/>
    <cfRule type="duplicateValues" dxfId="1970" priority="434"/>
    <cfRule type="duplicateValues" dxfId="1969" priority="410"/>
    <cfRule type="duplicateValues" dxfId="1968" priority="411"/>
    <cfRule type="duplicateValues" dxfId="1967" priority="412"/>
    <cfRule type="duplicateValues" dxfId="1966" priority="419"/>
  </conditionalFormatting>
  <conditionalFormatting sqref="C346">
    <cfRule type="duplicateValues" dxfId="1965" priority="339"/>
  </conditionalFormatting>
  <conditionalFormatting sqref="C347">
    <cfRule type="duplicateValues" dxfId="1964" priority="338"/>
  </conditionalFormatting>
  <conditionalFormatting sqref="C348">
    <cfRule type="duplicateValues" dxfId="1963" priority="1063"/>
    <cfRule type="duplicateValues" dxfId="1962" priority="1062"/>
    <cfRule type="duplicateValues" dxfId="1961" priority="1061"/>
  </conditionalFormatting>
  <conditionalFormatting sqref="C351">
    <cfRule type="duplicateValues" dxfId="1960" priority="2482"/>
    <cfRule type="duplicateValues" dxfId="1959" priority="2481"/>
  </conditionalFormatting>
  <conditionalFormatting sqref="C353 C356">
    <cfRule type="duplicateValues" dxfId="1958" priority="2104"/>
    <cfRule type="duplicateValues" dxfId="1957" priority="2103"/>
    <cfRule type="duplicateValues" dxfId="1956" priority="2102"/>
  </conditionalFormatting>
  <conditionalFormatting sqref="C353">
    <cfRule type="duplicateValues" dxfId="1955" priority="2099"/>
    <cfRule type="duplicateValues" dxfId="1954" priority="2100"/>
    <cfRule type="duplicateValues" dxfId="1953" priority="2101"/>
  </conditionalFormatting>
  <conditionalFormatting sqref="C354:C355">
    <cfRule type="duplicateValues" dxfId="1952" priority="143"/>
    <cfRule type="duplicateValues" dxfId="1951" priority="142"/>
  </conditionalFormatting>
  <conditionalFormatting sqref="C358">
    <cfRule type="duplicateValues" dxfId="1950" priority="2634"/>
    <cfRule type="duplicateValues" dxfId="1949" priority="2635"/>
    <cfRule type="duplicateValues" dxfId="1948" priority="2636"/>
    <cfRule type="duplicateValues" dxfId="1947" priority="2637"/>
    <cfRule type="duplicateValues" dxfId="1946" priority="2631"/>
    <cfRule type="duplicateValues" dxfId="1945" priority="2627"/>
    <cfRule type="duplicateValues" dxfId="1944" priority="2628"/>
    <cfRule type="duplicateValues" dxfId="1943" priority="2629"/>
    <cfRule type="duplicateValues" dxfId="1942" priority="2630"/>
    <cfRule type="duplicateValues" dxfId="1941" priority="2632"/>
    <cfRule type="duplicateValues" dxfId="1940" priority="2633"/>
  </conditionalFormatting>
  <conditionalFormatting sqref="C359">
    <cfRule type="duplicateValues" dxfId="1939" priority="1849"/>
    <cfRule type="duplicateValues" dxfId="1938" priority="1848"/>
    <cfRule type="duplicateValues" dxfId="1937" priority="1847"/>
    <cfRule type="duplicateValues" dxfId="1936" priority="1846"/>
  </conditionalFormatting>
  <conditionalFormatting sqref="C361">
    <cfRule type="duplicateValues" dxfId="1935" priority="6203"/>
  </conditionalFormatting>
  <conditionalFormatting sqref="C363">
    <cfRule type="duplicateValues" dxfId="1934" priority="6191"/>
    <cfRule type="duplicateValues" dxfId="1933" priority="6192"/>
    <cfRule type="duplicateValues" dxfId="1932" priority="6193"/>
    <cfRule type="duplicateValues" dxfId="1931" priority="6194"/>
    <cfRule type="duplicateValues" dxfId="1930" priority="6195"/>
  </conditionalFormatting>
  <conditionalFormatting sqref="C364">
    <cfRule type="duplicateValues" dxfId="1929" priority="61"/>
    <cfRule type="duplicateValues" dxfId="1928" priority="63"/>
    <cfRule type="duplicateValues" dxfId="1927" priority="62"/>
  </conditionalFormatting>
  <conditionalFormatting sqref="C365">
    <cfRule type="duplicateValues" dxfId="1926" priority="1653"/>
    <cfRule type="duplicateValues" dxfId="1925" priority="1650"/>
    <cfRule type="duplicateValues" dxfId="1924" priority="1651"/>
    <cfRule type="duplicateValues" dxfId="1923" priority="1652"/>
  </conditionalFormatting>
  <conditionalFormatting sqref="C366">
    <cfRule type="duplicateValues" dxfId="1922" priority="2445"/>
    <cfRule type="duplicateValues" dxfId="1921" priority="2444"/>
  </conditionalFormatting>
  <conditionalFormatting sqref="C367">
    <cfRule type="duplicateValues" dxfId="1920" priority="11"/>
  </conditionalFormatting>
  <conditionalFormatting sqref="C368">
    <cfRule type="duplicateValues" dxfId="1919" priority="1601"/>
    <cfRule type="duplicateValues" dxfId="1918" priority="1602"/>
    <cfRule type="duplicateValues" dxfId="1917" priority="1603"/>
    <cfRule type="duplicateValues" dxfId="1916" priority="1604"/>
    <cfRule type="duplicateValues" dxfId="1915" priority="1605"/>
    <cfRule type="duplicateValues" dxfId="1914" priority="1599"/>
    <cfRule type="duplicateValues" dxfId="1913" priority="1598"/>
    <cfRule type="duplicateValues" dxfId="1912" priority="1600"/>
  </conditionalFormatting>
  <conditionalFormatting sqref="C369">
    <cfRule type="duplicateValues" dxfId="1911" priority="3330"/>
    <cfRule type="duplicateValues" dxfId="1910" priority="3329"/>
    <cfRule type="duplicateValues" dxfId="1909" priority="3328"/>
    <cfRule type="duplicateValues" dxfId="1908" priority="3327"/>
    <cfRule type="duplicateValues" dxfId="1907" priority="3324"/>
    <cfRule type="duplicateValues" dxfId="1906" priority="3325"/>
    <cfRule type="duplicateValues" dxfId="1905" priority="3326"/>
    <cfRule type="duplicateValues" dxfId="1904" priority="3331"/>
  </conditionalFormatting>
  <conditionalFormatting sqref="C370">
    <cfRule type="duplicateValues" dxfId="1903" priority="2189"/>
    <cfRule type="duplicateValues" dxfId="1902" priority="2188"/>
    <cfRule type="duplicateValues" dxfId="1901" priority="2187"/>
    <cfRule type="duplicateValues" dxfId="1900" priority="2186"/>
    <cfRule type="duplicateValues" dxfId="1899" priority="2185"/>
    <cfRule type="duplicateValues" dxfId="1898" priority="2184"/>
    <cfRule type="duplicateValues" dxfId="1897" priority="2196"/>
    <cfRule type="duplicateValues" dxfId="1896" priority="2193"/>
    <cfRule type="duplicateValues" dxfId="1895" priority="2190"/>
    <cfRule type="duplicateValues" dxfId="1894" priority="2191"/>
    <cfRule type="duplicateValues" dxfId="1893" priority="2197"/>
    <cfRule type="duplicateValues" dxfId="1892" priority="2194"/>
    <cfRule type="duplicateValues" dxfId="1891" priority="2192"/>
    <cfRule type="duplicateValues" dxfId="1890" priority="2195"/>
  </conditionalFormatting>
  <conditionalFormatting sqref="C371:C372">
    <cfRule type="duplicateValues" dxfId="1889" priority="67"/>
  </conditionalFormatting>
  <conditionalFormatting sqref="C373">
    <cfRule type="duplicateValues" dxfId="1888" priority="66"/>
  </conditionalFormatting>
  <conditionalFormatting sqref="C378">
    <cfRule type="duplicateValues" dxfId="1887" priority="1999"/>
  </conditionalFormatting>
  <conditionalFormatting sqref="C379">
    <cfRule type="duplicateValues" dxfId="1886" priority="1998"/>
  </conditionalFormatting>
  <conditionalFormatting sqref="C380">
    <cfRule type="duplicateValues" dxfId="1885" priority="8"/>
  </conditionalFormatting>
  <conditionalFormatting sqref="C381">
    <cfRule type="duplicateValues" dxfId="1884" priority="1991"/>
    <cfRule type="duplicateValues" dxfId="1883" priority="1993"/>
    <cfRule type="duplicateValues" dxfId="1882" priority="1992"/>
    <cfRule type="duplicateValues" dxfId="1881" priority="1990"/>
  </conditionalFormatting>
  <conditionalFormatting sqref="C382">
    <cfRule type="duplicateValues" dxfId="1880" priority="909"/>
  </conditionalFormatting>
  <conditionalFormatting sqref="C383">
    <cfRule type="duplicateValues" dxfId="1879" priority="3474"/>
    <cfRule type="duplicateValues" dxfId="1878" priority="3473"/>
    <cfRule type="duplicateValues" dxfId="1877" priority="3472"/>
    <cfRule type="duplicateValues" dxfId="1876" priority="3477"/>
    <cfRule type="duplicateValues" dxfId="1875" priority="3476"/>
    <cfRule type="duplicateValues" dxfId="1874" priority="3475"/>
  </conditionalFormatting>
  <conditionalFormatting sqref="C384 C387:C395">
    <cfRule type="duplicateValues" dxfId="1873" priority="1003"/>
    <cfRule type="duplicateValues" dxfId="1872" priority="1018"/>
    <cfRule type="duplicateValues" dxfId="1871" priority="1004"/>
  </conditionalFormatting>
  <conditionalFormatting sqref="C384">
    <cfRule type="duplicateValues" dxfId="1870" priority="1012"/>
    <cfRule type="duplicateValues" dxfId="1869" priority="1013"/>
    <cfRule type="duplicateValues" dxfId="1868" priority="1014"/>
    <cfRule type="duplicateValues" dxfId="1867" priority="1015"/>
    <cfRule type="duplicateValues" dxfId="1866" priority="1016"/>
    <cfRule type="duplicateValues" dxfId="1865" priority="1017"/>
    <cfRule type="duplicateValues" dxfId="1864" priority="1007"/>
    <cfRule type="duplicateValues" dxfId="1863" priority="1009"/>
    <cfRule type="duplicateValues" dxfId="1862" priority="1010"/>
    <cfRule type="duplicateValues" dxfId="1861" priority="1008"/>
    <cfRule type="duplicateValues" dxfId="1860" priority="1011"/>
    <cfRule type="duplicateValues" dxfId="1859" priority="1000"/>
    <cfRule type="duplicateValues" dxfId="1858" priority="1006"/>
    <cfRule type="duplicateValues" dxfId="1857" priority="1001"/>
    <cfRule type="duplicateValues" dxfId="1856" priority="1002"/>
    <cfRule type="duplicateValues" dxfId="1855" priority="1005"/>
  </conditionalFormatting>
  <conditionalFormatting sqref="C385">
    <cfRule type="duplicateValues" dxfId="1854" priority="163"/>
  </conditionalFormatting>
  <conditionalFormatting sqref="C386">
    <cfRule type="duplicateValues" dxfId="1853" priority="162"/>
  </conditionalFormatting>
  <conditionalFormatting sqref="C396">
    <cfRule type="duplicateValues" dxfId="1852" priority="1945"/>
    <cfRule type="duplicateValues" dxfId="1851" priority="1955"/>
    <cfRule type="duplicateValues" dxfId="1850" priority="1941"/>
    <cfRule type="duplicateValues" dxfId="1849" priority="1946"/>
    <cfRule type="duplicateValues" dxfId="1848" priority="1954"/>
    <cfRule type="duplicateValues" dxfId="1847" priority="1942"/>
    <cfRule type="duplicateValues" dxfId="1846" priority="1943"/>
    <cfRule type="duplicateValues" dxfId="1845" priority="1950"/>
    <cfRule type="duplicateValues" dxfId="1844" priority="1953"/>
    <cfRule type="duplicateValues" dxfId="1843" priority="1952"/>
    <cfRule type="duplicateValues" dxfId="1842" priority="1951"/>
    <cfRule type="duplicateValues" dxfId="1841" priority="1949"/>
    <cfRule type="duplicateValues" dxfId="1840" priority="1948"/>
    <cfRule type="duplicateValues" dxfId="1839" priority="1944"/>
    <cfRule type="duplicateValues" dxfId="1838" priority="1947"/>
  </conditionalFormatting>
  <conditionalFormatting sqref="C397">
    <cfRule type="duplicateValues" dxfId="1837" priority="2929"/>
  </conditionalFormatting>
  <conditionalFormatting sqref="C398">
    <cfRule type="duplicateValues" dxfId="1836" priority="2912"/>
    <cfRule type="duplicateValues" dxfId="1835" priority="2913"/>
    <cfRule type="duplicateValues" dxfId="1834" priority="2917"/>
    <cfRule type="duplicateValues" dxfId="1833" priority="2916"/>
    <cfRule type="duplicateValues" dxfId="1832" priority="2914"/>
    <cfRule type="duplicateValues" dxfId="1831" priority="2915"/>
    <cfRule type="duplicateValues" dxfId="1830" priority="2918"/>
    <cfRule type="duplicateValues" dxfId="1829" priority="2919"/>
    <cfRule type="duplicateValues" dxfId="1828" priority="2920"/>
  </conditionalFormatting>
  <conditionalFormatting sqref="C399">
    <cfRule type="duplicateValues" dxfId="1827" priority="880"/>
  </conditionalFormatting>
  <conditionalFormatting sqref="C400">
    <cfRule type="duplicateValues" dxfId="1826" priority="879"/>
  </conditionalFormatting>
  <conditionalFormatting sqref="C401">
    <cfRule type="duplicateValues" dxfId="1825" priority="3301"/>
    <cfRule type="duplicateValues" dxfId="1824" priority="3302"/>
    <cfRule type="duplicateValues" dxfId="1823" priority="3304"/>
    <cfRule type="duplicateValues" dxfId="1822" priority="3305"/>
    <cfRule type="duplicateValues" dxfId="1821" priority="3306"/>
    <cfRule type="duplicateValues" dxfId="1820" priority="3303"/>
    <cfRule type="duplicateValues" dxfId="1819" priority="3307"/>
    <cfRule type="duplicateValues" dxfId="1818" priority="3300"/>
  </conditionalFormatting>
  <conditionalFormatting sqref="C402:C405">
    <cfRule type="duplicateValues" dxfId="1817" priority="3004"/>
    <cfRule type="duplicateValues" dxfId="1816" priority="3003"/>
    <cfRule type="duplicateValues" dxfId="1815" priority="3009"/>
    <cfRule type="duplicateValues" dxfId="1814" priority="3010"/>
    <cfRule type="duplicateValues" dxfId="1813" priority="3005"/>
    <cfRule type="duplicateValues" dxfId="1812" priority="3007"/>
    <cfRule type="duplicateValues" dxfId="1811" priority="3011"/>
    <cfRule type="duplicateValues" dxfId="1810" priority="3008"/>
    <cfRule type="duplicateValues" dxfId="1809" priority="3006"/>
  </conditionalFormatting>
  <conditionalFormatting sqref="C409">
    <cfRule type="duplicateValues" dxfId="1808" priority="789"/>
  </conditionalFormatting>
  <conditionalFormatting sqref="C410">
    <cfRule type="duplicateValues" dxfId="1807" priority="788"/>
  </conditionalFormatting>
  <conditionalFormatting sqref="C411">
    <cfRule type="duplicateValues" dxfId="1806" priority="787"/>
  </conditionalFormatting>
  <conditionalFormatting sqref="C412:C414">
    <cfRule type="duplicateValues" dxfId="1805" priority="693"/>
  </conditionalFormatting>
  <conditionalFormatting sqref="C415:C417">
    <cfRule type="duplicateValues" dxfId="1804" priority="2752"/>
    <cfRule type="duplicateValues" dxfId="1803" priority="2750"/>
    <cfRule type="duplicateValues" dxfId="1802" priority="2751"/>
    <cfRule type="duplicateValues" dxfId="1801" priority="2753"/>
    <cfRule type="duplicateValues" dxfId="1800" priority="2754"/>
    <cfRule type="duplicateValues" dxfId="1799" priority="2755"/>
    <cfRule type="duplicateValues" dxfId="1798" priority="2756"/>
    <cfRule type="duplicateValues" dxfId="1797" priority="2757"/>
    <cfRule type="duplicateValues" dxfId="1796" priority="2758"/>
    <cfRule type="duplicateValues" dxfId="1795" priority="2759"/>
  </conditionalFormatting>
  <conditionalFormatting sqref="C418">
    <cfRule type="duplicateValues" dxfId="1794" priority="1501"/>
  </conditionalFormatting>
  <conditionalFormatting sqref="C419:C420">
    <cfRule type="duplicateValues" dxfId="1793" priority="6167"/>
    <cfRule type="duplicateValues" dxfId="1792" priority="6164"/>
    <cfRule type="duplicateValues" dxfId="1791" priority="6166"/>
    <cfRule type="duplicateValues" dxfId="1790" priority="6165"/>
  </conditionalFormatting>
  <conditionalFormatting sqref="C421:C422">
    <cfRule type="duplicateValues" dxfId="1789" priority="3135"/>
    <cfRule type="duplicateValues" dxfId="1788" priority="3132"/>
    <cfRule type="duplicateValues" dxfId="1787" priority="3129"/>
    <cfRule type="duplicateValues" dxfId="1786" priority="3130"/>
    <cfRule type="duplicateValues" dxfId="1785" priority="3133"/>
    <cfRule type="duplicateValues" dxfId="1784" priority="3134"/>
    <cfRule type="duplicateValues" dxfId="1783" priority="3131"/>
    <cfRule type="duplicateValues" dxfId="1782" priority="3136"/>
  </conditionalFormatting>
  <conditionalFormatting sqref="C423">
    <cfRule type="duplicateValues" dxfId="1781" priority="4316"/>
    <cfRule type="duplicateValues" dxfId="1780" priority="4314"/>
    <cfRule type="duplicateValues" dxfId="1779" priority="4313"/>
    <cfRule type="duplicateValues" dxfId="1778" priority="4315"/>
  </conditionalFormatting>
  <conditionalFormatting sqref="C424:C425">
    <cfRule type="duplicateValues" dxfId="1777" priority="3403"/>
    <cfRule type="duplicateValues" dxfId="1776" priority="3397"/>
    <cfRule type="duplicateValues" dxfId="1775" priority="3398"/>
    <cfRule type="duplicateValues" dxfId="1774" priority="3399"/>
    <cfRule type="duplicateValues" dxfId="1773" priority="3400"/>
    <cfRule type="duplicateValues" dxfId="1772" priority="3401"/>
    <cfRule type="duplicateValues" dxfId="1771" priority="3396"/>
    <cfRule type="duplicateValues" dxfId="1770" priority="3402"/>
  </conditionalFormatting>
  <conditionalFormatting sqref="C426:C428">
    <cfRule type="duplicateValues" dxfId="1769" priority="3284"/>
    <cfRule type="duplicateValues" dxfId="1768" priority="3277"/>
    <cfRule type="duplicateValues" dxfId="1767" priority="3278"/>
    <cfRule type="duplicateValues" dxfId="1766" priority="3279"/>
    <cfRule type="duplicateValues" dxfId="1765" priority="3280"/>
    <cfRule type="duplicateValues" dxfId="1764" priority="3282"/>
    <cfRule type="duplicateValues" dxfId="1763" priority="3283"/>
    <cfRule type="duplicateValues" dxfId="1762" priority="3281"/>
  </conditionalFormatting>
  <conditionalFormatting sqref="C429">
    <cfRule type="duplicateValues" dxfId="1761" priority="2118"/>
    <cfRule type="duplicateValues" dxfId="1760" priority="2117"/>
    <cfRule type="duplicateValues" dxfId="1759" priority="2116"/>
  </conditionalFormatting>
  <conditionalFormatting sqref="C430">
    <cfRule type="duplicateValues" dxfId="1758" priority="2115"/>
    <cfRule type="duplicateValues" dxfId="1757" priority="2114"/>
    <cfRule type="duplicateValues" dxfId="1756" priority="2113"/>
  </conditionalFormatting>
  <conditionalFormatting sqref="C431">
    <cfRule type="duplicateValues" dxfId="1755" priority="2110"/>
    <cfRule type="duplicateValues" dxfId="1754" priority="2112"/>
    <cfRule type="duplicateValues" dxfId="1753" priority="2111"/>
  </conditionalFormatting>
  <conditionalFormatting sqref="C433">
    <cfRule type="duplicateValues" dxfId="1752" priority="4068"/>
    <cfRule type="duplicateValues" dxfId="1751" priority="4065"/>
    <cfRule type="duplicateValues" dxfId="1750" priority="4064"/>
    <cfRule type="duplicateValues" dxfId="1749" priority="4066"/>
    <cfRule type="duplicateValues" dxfId="1748" priority="4067"/>
  </conditionalFormatting>
  <conditionalFormatting sqref="C436">
    <cfRule type="duplicateValues" dxfId="1747" priority="5665"/>
    <cfRule type="duplicateValues" dxfId="1746" priority="5662"/>
    <cfRule type="duplicateValues" dxfId="1745" priority="5661"/>
    <cfRule type="duplicateValues" dxfId="1744" priority="5667"/>
    <cfRule type="duplicateValues" dxfId="1743" priority="5666"/>
    <cfRule type="duplicateValues" dxfId="1742" priority="5664"/>
    <cfRule type="duplicateValues" dxfId="1741" priority="5663"/>
  </conditionalFormatting>
  <conditionalFormatting sqref="C437">
    <cfRule type="duplicateValues" dxfId="1740" priority="2094"/>
  </conditionalFormatting>
  <conditionalFormatting sqref="C438">
    <cfRule type="duplicateValues" dxfId="1739" priority="3527"/>
    <cfRule type="duplicateValues" dxfId="1738" priority="3528"/>
    <cfRule type="duplicateValues" dxfId="1737" priority="3529"/>
    <cfRule type="duplicateValues" dxfId="1736" priority="3530"/>
    <cfRule type="duplicateValues" dxfId="1735" priority="3531"/>
  </conditionalFormatting>
  <conditionalFormatting sqref="C439">
    <cfRule type="duplicateValues" dxfId="1734" priority="2098"/>
  </conditionalFormatting>
  <conditionalFormatting sqref="C440">
    <cfRule type="duplicateValues" dxfId="1733" priority="2097"/>
  </conditionalFormatting>
  <conditionalFormatting sqref="C441:C442">
    <cfRule type="duplicateValues" dxfId="1732" priority="2096"/>
  </conditionalFormatting>
  <conditionalFormatting sqref="C443">
    <cfRule type="duplicateValues" dxfId="1731" priority="2095"/>
  </conditionalFormatting>
  <conditionalFormatting sqref="C444">
    <cfRule type="duplicateValues" dxfId="1730" priority="3269"/>
    <cfRule type="duplicateValues" dxfId="1729" priority="3270"/>
    <cfRule type="duplicateValues" dxfId="1728" priority="3271"/>
    <cfRule type="duplicateValues" dxfId="1727" priority="3272"/>
    <cfRule type="duplicateValues" dxfId="1726" priority="3273"/>
    <cfRule type="duplicateValues" dxfId="1725" priority="3274"/>
    <cfRule type="duplicateValues" dxfId="1724" priority="3275"/>
    <cfRule type="duplicateValues" dxfId="1723" priority="3276"/>
  </conditionalFormatting>
  <conditionalFormatting sqref="C445:C447">
    <cfRule type="duplicateValues" dxfId="1722" priority="2387"/>
    <cfRule type="duplicateValues" dxfId="1721" priority="2386"/>
  </conditionalFormatting>
  <conditionalFormatting sqref="C448">
    <cfRule type="duplicateValues" dxfId="1720" priority="2385"/>
    <cfRule type="duplicateValues" dxfId="1719" priority="2384"/>
  </conditionalFormatting>
  <conditionalFormatting sqref="C449">
    <cfRule type="duplicateValues" dxfId="1718" priority="3239"/>
    <cfRule type="duplicateValues" dxfId="1717" priority="3240"/>
    <cfRule type="duplicateValues" dxfId="1716" priority="3241"/>
    <cfRule type="duplicateValues" dxfId="1715" priority="3242"/>
    <cfRule type="duplicateValues" dxfId="1714" priority="3237"/>
    <cfRule type="duplicateValues" dxfId="1713" priority="3236"/>
    <cfRule type="duplicateValues" dxfId="1712" priority="3243"/>
    <cfRule type="duplicateValues" dxfId="1711" priority="3238"/>
  </conditionalFormatting>
  <conditionalFormatting sqref="C450">
    <cfRule type="duplicateValues" dxfId="1710" priority="2105"/>
  </conditionalFormatting>
  <conditionalFormatting sqref="C451:C460">
    <cfRule type="duplicateValues" dxfId="1709" priority="1543"/>
  </conditionalFormatting>
  <conditionalFormatting sqref="C461 C467">
    <cfRule type="duplicateValues" dxfId="1708" priority="1549"/>
  </conditionalFormatting>
  <conditionalFormatting sqref="C461 C467:C468">
    <cfRule type="duplicateValues" dxfId="1707" priority="1544"/>
  </conditionalFormatting>
  <conditionalFormatting sqref="C461">
    <cfRule type="duplicateValues" dxfId="1706" priority="1552"/>
  </conditionalFormatting>
  <conditionalFormatting sqref="C462 C465">
    <cfRule type="duplicateValues" dxfId="1705" priority="1542"/>
  </conditionalFormatting>
  <conditionalFormatting sqref="C463">
    <cfRule type="duplicateValues" dxfId="1704" priority="60"/>
    <cfRule type="duplicateValues" dxfId="1703" priority="59"/>
  </conditionalFormatting>
  <conditionalFormatting sqref="C464">
    <cfRule type="duplicateValues" dxfId="1702" priority="57"/>
    <cfRule type="duplicateValues" dxfId="1701" priority="58"/>
  </conditionalFormatting>
  <conditionalFormatting sqref="C466">
    <cfRule type="duplicateValues" dxfId="1700" priority="1071"/>
    <cfRule type="duplicateValues" dxfId="1699" priority="1070"/>
    <cfRule type="duplicateValues" dxfId="1698" priority="1073"/>
    <cfRule type="duplicateValues" dxfId="1697" priority="1072"/>
  </conditionalFormatting>
  <conditionalFormatting sqref="C467">
    <cfRule type="duplicateValues" dxfId="1696" priority="1550"/>
  </conditionalFormatting>
  <conditionalFormatting sqref="C468">
    <cfRule type="duplicateValues" dxfId="1695" priority="1547"/>
    <cfRule type="duplicateValues" dxfId="1694" priority="1548"/>
    <cfRule type="duplicateValues" dxfId="1693" priority="1546"/>
    <cfRule type="duplicateValues" dxfId="1692" priority="1545"/>
  </conditionalFormatting>
  <conditionalFormatting sqref="C469">
    <cfRule type="duplicateValues" dxfId="1691" priority="1872"/>
    <cfRule type="duplicateValues" dxfId="1690" priority="1870"/>
    <cfRule type="duplicateValues" dxfId="1689" priority="1871"/>
    <cfRule type="duplicateValues" dxfId="1688" priority="1873"/>
  </conditionalFormatting>
  <conditionalFormatting sqref="C470">
    <cfRule type="duplicateValues" dxfId="1687" priority="893"/>
    <cfRule type="duplicateValues" dxfId="1686" priority="892"/>
  </conditionalFormatting>
  <conditionalFormatting sqref="C471:C473">
    <cfRule type="duplicateValues" dxfId="1685" priority="141"/>
    <cfRule type="duplicateValues" dxfId="1684" priority="140"/>
  </conditionalFormatting>
  <conditionalFormatting sqref="C474">
    <cfRule type="duplicateValues" dxfId="1683" priority="138"/>
    <cfRule type="duplicateValues" dxfId="1682" priority="139"/>
  </conditionalFormatting>
  <conditionalFormatting sqref="C475">
    <cfRule type="duplicateValues" dxfId="1681" priority="328"/>
  </conditionalFormatting>
  <conditionalFormatting sqref="C476">
    <cfRule type="duplicateValues" dxfId="1680" priority="327"/>
  </conditionalFormatting>
  <conditionalFormatting sqref="C477">
    <cfRule type="duplicateValues" dxfId="1679" priority="1914"/>
    <cfRule type="duplicateValues" dxfId="1678" priority="1915"/>
    <cfRule type="duplicateValues" dxfId="1677" priority="1916"/>
    <cfRule type="duplicateValues" dxfId="1676" priority="1917"/>
  </conditionalFormatting>
  <conditionalFormatting sqref="C478">
    <cfRule type="duplicateValues" dxfId="1675" priority="3194"/>
  </conditionalFormatting>
  <conditionalFormatting sqref="C479">
    <cfRule type="duplicateValues" dxfId="1674" priority="93"/>
  </conditionalFormatting>
  <conditionalFormatting sqref="C480">
    <cfRule type="duplicateValues" dxfId="1673" priority="92"/>
  </conditionalFormatting>
  <conditionalFormatting sqref="C482">
    <cfRule type="duplicateValues" dxfId="1672" priority="3179"/>
    <cfRule type="duplicateValues" dxfId="1671" priority="3180"/>
    <cfRule type="duplicateValues" dxfId="1670" priority="3181"/>
    <cfRule type="duplicateValues" dxfId="1669" priority="3186"/>
    <cfRule type="duplicateValues" dxfId="1668" priority="3182"/>
    <cfRule type="duplicateValues" dxfId="1667" priority="3185"/>
    <cfRule type="duplicateValues" dxfId="1666" priority="3183"/>
    <cfRule type="duplicateValues" dxfId="1665" priority="3184"/>
  </conditionalFormatting>
  <conditionalFormatting sqref="C483:C484">
    <cfRule type="duplicateValues" dxfId="1664" priority="109"/>
    <cfRule type="duplicateValues" dxfId="1663" priority="108"/>
    <cfRule type="duplicateValues" dxfId="1662" priority="107"/>
  </conditionalFormatting>
  <conditionalFormatting sqref="C485">
    <cfRule type="duplicateValues" dxfId="1661" priority="2413"/>
    <cfRule type="duplicateValues" dxfId="1660" priority="2412"/>
  </conditionalFormatting>
  <conditionalFormatting sqref="C486:C487">
    <cfRule type="duplicateValues" dxfId="1659" priority="2410"/>
    <cfRule type="duplicateValues" dxfId="1658" priority="2411"/>
  </conditionalFormatting>
  <conditionalFormatting sqref="C488:C489">
    <cfRule type="duplicateValues" dxfId="1657" priority="202"/>
  </conditionalFormatting>
  <conditionalFormatting sqref="C490">
    <cfRule type="duplicateValues" dxfId="1656" priority="201"/>
  </conditionalFormatting>
  <conditionalFormatting sqref="C491:C493">
    <cfRule type="duplicateValues" dxfId="1655" priority="168"/>
    <cfRule type="duplicateValues" dxfId="1654" priority="167"/>
  </conditionalFormatting>
  <conditionalFormatting sqref="C494 C432 C361 C408 C434:C435 C363">
    <cfRule type="duplicateValues" dxfId="1653" priority="6170"/>
  </conditionalFormatting>
  <conditionalFormatting sqref="C494 C432 C361 C408 C434:C435">
    <cfRule type="duplicateValues" dxfId="1652" priority="6204"/>
  </conditionalFormatting>
  <conditionalFormatting sqref="C494">
    <cfRule type="duplicateValues" dxfId="1651" priority="6196"/>
    <cfRule type="duplicateValues" dxfId="1650" priority="6168"/>
  </conditionalFormatting>
  <conditionalFormatting sqref="C495">
    <cfRule type="duplicateValues" dxfId="1649" priority="7135"/>
  </conditionalFormatting>
  <conditionalFormatting sqref="C496">
    <cfRule type="duplicateValues" dxfId="1648" priority="889"/>
    <cfRule type="duplicateValues" dxfId="1647" priority="888"/>
  </conditionalFormatting>
  <conditionalFormatting sqref="C497:C498 C501 C525 C504 C530 C535">
    <cfRule type="duplicateValues" dxfId="1646" priority="6380"/>
  </conditionalFormatting>
  <conditionalFormatting sqref="C497:C498 C501 C525 C504 C530">
    <cfRule type="duplicateValues" dxfId="1645" priority="6379"/>
  </conditionalFormatting>
  <conditionalFormatting sqref="C497:C498">
    <cfRule type="duplicateValues" dxfId="1644" priority="6377"/>
    <cfRule type="duplicateValues" dxfId="1643" priority="6378"/>
  </conditionalFormatting>
  <conditionalFormatting sqref="C499">
    <cfRule type="duplicateValues" dxfId="1642" priority="119"/>
  </conditionalFormatting>
  <conditionalFormatting sqref="C500">
    <cfRule type="duplicateValues" dxfId="1641" priority="2109"/>
  </conditionalFormatting>
  <conditionalFormatting sqref="C502">
    <cfRule type="duplicateValues" dxfId="1640" priority="2137"/>
    <cfRule type="duplicateValues" dxfId="1639" priority="2139"/>
    <cfRule type="duplicateValues" dxfId="1638" priority="2138"/>
  </conditionalFormatting>
  <conditionalFormatting sqref="C503">
    <cfRule type="duplicateValues" dxfId="1637" priority="534"/>
    <cfRule type="duplicateValues" dxfId="1636" priority="533"/>
    <cfRule type="duplicateValues" dxfId="1635" priority="532"/>
    <cfRule type="duplicateValues" dxfId="1634" priority="531"/>
    <cfRule type="duplicateValues" dxfId="1633" priority="530"/>
    <cfRule type="duplicateValues" dxfId="1632" priority="529"/>
    <cfRule type="duplicateValues" dxfId="1631" priority="527"/>
    <cfRule type="duplicateValues" dxfId="1630" priority="526"/>
    <cfRule type="duplicateValues" dxfId="1629" priority="525"/>
    <cfRule type="duplicateValues" dxfId="1628" priority="524"/>
    <cfRule type="duplicateValues" dxfId="1627" priority="523"/>
    <cfRule type="duplicateValues" dxfId="1626" priority="521"/>
    <cfRule type="duplicateValues" dxfId="1625" priority="520"/>
    <cfRule type="duplicateValues" dxfId="1624" priority="519"/>
    <cfRule type="duplicateValues" dxfId="1623" priority="518"/>
    <cfRule type="duplicateValues" dxfId="1622" priority="517"/>
    <cfRule type="duplicateValues" dxfId="1621" priority="516"/>
    <cfRule type="duplicateValues" dxfId="1620" priority="515"/>
    <cfRule type="duplicateValues" dxfId="1619" priority="514"/>
    <cfRule type="duplicateValues" dxfId="1618" priority="513"/>
    <cfRule type="duplicateValues" dxfId="1617" priority="512"/>
    <cfRule type="duplicateValues" dxfId="1616" priority="511"/>
    <cfRule type="duplicateValues" dxfId="1615" priority="510"/>
    <cfRule type="duplicateValues" dxfId="1614" priority="509"/>
    <cfRule type="duplicateValues" dxfId="1613" priority="522"/>
    <cfRule type="duplicateValues" dxfId="1612" priority="528"/>
    <cfRule type="duplicateValues" dxfId="1611" priority="537"/>
    <cfRule type="duplicateValues" dxfId="1610" priority="536"/>
    <cfRule type="duplicateValues" dxfId="1609" priority="535"/>
  </conditionalFormatting>
  <conditionalFormatting sqref="C505:C506">
    <cfRule type="duplicateValues" dxfId="1608" priority="474"/>
  </conditionalFormatting>
  <conditionalFormatting sqref="C507">
    <cfRule type="duplicateValues" dxfId="1607" priority="473"/>
  </conditionalFormatting>
  <conditionalFormatting sqref="C508">
    <cfRule type="duplicateValues" dxfId="1606" priority="2448"/>
    <cfRule type="duplicateValues" dxfId="1605" priority="2449"/>
  </conditionalFormatting>
  <conditionalFormatting sqref="C509">
    <cfRule type="duplicateValues" dxfId="1604" priority="2350"/>
    <cfRule type="duplicateValues" dxfId="1603" priority="2346"/>
    <cfRule type="duplicateValues" dxfId="1602" priority="2345"/>
    <cfRule type="duplicateValues" dxfId="1601" priority="2348"/>
    <cfRule type="duplicateValues" dxfId="1600" priority="2349"/>
    <cfRule type="duplicateValues" dxfId="1599" priority="2351"/>
    <cfRule type="duplicateValues" dxfId="1598" priority="2347"/>
  </conditionalFormatting>
  <conditionalFormatting sqref="C510">
    <cfRule type="duplicateValues" dxfId="1597" priority="2863"/>
    <cfRule type="duplicateValues" dxfId="1596" priority="2860"/>
    <cfRule type="duplicateValues" dxfId="1595" priority="2859"/>
    <cfRule type="duplicateValues" dxfId="1594" priority="2862"/>
    <cfRule type="duplicateValues" dxfId="1593" priority="2865"/>
    <cfRule type="duplicateValues" dxfId="1592" priority="2864"/>
    <cfRule type="duplicateValues" dxfId="1591" priority="2861"/>
  </conditionalFormatting>
  <conditionalFormatting sqref="C511">
    <cfRule type="duplicateValues" dxfId="1590" priority="343"/>
    <cfRule type="duplicateValues" dxfId="1589" priority="342"/>
    <cfRule type="duplicateValues" dxfId="1588" priority="341"/>
    <cfRule type="duplicateValues" dxfId="1587" priority="340"/>
  </conditionalFormatting>
  <conditionalFormatting sqref="C512">
    <cfRule type="duplicateValues" dxfId="1586" priority="332"/>
  </conditionalFormatting>
  <conditionalFormatting sqref="C513">
    <cfRule type="duplicateValues" dxfId="1585" priority="306"/>
    <cfRule type="duplicateValues" dxfId="1584" priority="307"/>
  </conditionalFormatting>
  <conditionalFormatting sqref="C514">
    <cfRule type="duplicateValues" dxfId="1583" priority="300"/>
    <cfRule type="duplicateValues" dxfId="1582" priority="299"/>
  </conditionalFormatting>
  <conditionalFormatting sqref="C515">
    <cfRule type="duplicateValues" dxfId="1581" priority="2053"/>
  </conditionalFormatting>
  <conditionalFormatting sqref="C516">
    <cfRule type="duplicateValues" dxfId="1580" priority="238"/>
    <cfRule type="duplicateValues" dxfId="1579" priority="239"/>
    <cfRule type="duplicateValues" dxfId="1578" priority="237"/>
    <cfRule type="duplicateValues" dxfId="1577" priority="240"/>
    <cfRule type="duplicateValues" dxfId="1576" priority="241"/>
  </conditionalFormatting>
  <conditionalFormatting sqref="C517:C518">
    <cfRule type="duplicateValues" dxfId="1575" priority="2683"/>
    <cfRule type="duplicateValues" dxfId="1574" priority="2682"/>
    <cfRule type="duplicateValues" dxfId="1573" priority="2681"/>
    <cfRule type="duplicateValues" dxfId="1572" priority="2687"/>
    <cfRule type="duplicateValues" dxfId="1571" priority="2679"/>
    <cfRule type="duplicateValues" dxfId="1570" priority="2680"/>
    <cfRule type="duplicateValues" dxfId="1569" priority="2694"/>
    <cfRule type="duplicateValues" dxfId="1568" priority="2692"/>
    <cfRule type="duplicateValues" dxfId="1567" priority="2691"/>
    <cfRule type="duplicateValues" dxfId="1566" priority="2690"/>
    <cfRule type="duplicateValues" dxfId="1565" priority="2693"/>
    <cfRule type="duplicateValues" dxfId="1564" priority="2699"/>
    <cfRule type="duplicateValues" dxfId="1563" priority="2698"/>
    <cfRule type="duplicateValues" dxfId="1562" priority="2689"/>
    <cfRule type="duplicateValues" dxfId="1561" priority="2688"/>
    <cfRule type="duplicateValues" dxfId="1560" priority="2686"/>
    <cfRule type="duplicateValues" dxfId="1559" priority="2697"/>
    <cfRule type="duplicateValues" dxfId="1558" priority="2685"/>
    <cfRule type="duplicateValues" dxfId="1557" priority="2684"/>
    <cfRule type="duplicateValues" dxfId="1556" priority="2695"/>
    <cfRule type="duplicateValues" dxfId="1555" priority="2696"/>
  </conditionalFormatting>
  <conditionalFormatting sqref="C519">
    <cfRule type="duplicateValues" dxfId="1554" priority="236"/>
    <cfRule type="duplicateValues" dxfId="1553" priority="235"/>
  </conditionalFormatting>
  <conditionalFormatting sqref="C520:C521">
    <cfRule type="duplicateValues" dxfId="1552" priority="1541"/>
  </conditionalFormatting>
  <conditionalFormatting sqref="C522">
    <cfRule type="duplicateValues" dxfId="1551" priority="3195"/>
    <cfRule type="duplicateValues" dxfId="1550" priority="3196"/>
    <cfRule type="duplicateValues" dxfId="1549" priority="3197"/>
    <cfRule type="duplicateValues" dxfId="1548" priority="3198"/>
    <cfRule type="duplicateValues" dxfId="1547" priority="3199"/>
    <cfRule type="duplicateValues" dxfId="1546" priority="3200"/>
    <cfRule type="duplicateValues" dxfId="1545" priority="3201"/>
    <cfRule type="duplicateValues" dxfId="1544" priority="3202"/>
  </conditionalFormatting>
  <conditionalFormatting sqref="C523">
    <cfRule type="duplicateValues" dxfId="1543" priority="3406"/>
    <cfRule type="duplicateValues" dxfId="1542" priority="3407"/>
    <cfRule type="duplicateValues" dxfId="1541" priority="3408"/>
    <cfRule type="duplicateValues" dxfId="1540" priority="3409"/>
    <cfRule type="duplicateValues" dxfId="1539" priority="3410"/>
    <cfRule type="duplicateValues" dxfId="1538" priority="3411"/>
  </conditionalFormatting>
  <conditionalFormatting sqref="C524">
    <cfRule type="duplicateValues" dxfId="1537" priority="2462"/>
    <cfRule type="duplicateValues" dxfId="1536" priority="2461"/>
  </conditionalFormatting>
  <conditionalFormatting sqref="C526:C528">
    <cfRule type="duplicateValues" dxfId="1535" priority="963"/>
    <cfRule type="duplicateValues" dxfId="1534" priority="964"/>
    <cfRule type="duplicateValues" dxfId="1533" priority="965"/>
    <cfRule type="duplicateValues" dxfId="1532" priority="966"/>
    <cfRule type="duplicateValues" dxfId="1531" priority="967"/>
    <cfRule type="duplicateValues" dxfId="1530" priority="968"/>
    <cfRule type="duplicateValues" dxfId="1529" priority="969"/>
    <cfRule type="duplicateValues" dxfId="1528" priority="970"/>
    <cfRule type="duplicateValues" dxfId="1527" priority="972"/>
    <cfRule type="duplicateValues" dxfId="1526" priority="973"/>
    <cfRule type="duplicateValues" dxfId="1525" priority="974"/>
    <cfRule type="duplicateValues" dxfId="1524" priority="975"/>
    <cfRule type="duplicateValues" dxfId="1523" priority="971"/>
    <cfRule type="duplicateValues" dxfId="1522" priority="957"/>
    <cfRule type="duplicateValues" dxfId="1521" priority="958"/>
    <cfRule type="duplicateValues" dxfId="1520" priority="959"/>
    <cfRule type="duplicateValues" dxfId="1519" priority="960"/>
    <cfRule type="duplicateValues" dxfId="1518" priority="961"/>
    <cfRule type="duplicateValues" dxfId="1517" priority="962"/>
  </conditionalFormatting>
  <conditionalFormatting sqref="C529">
    <cfRule type="duplicateValues" dxfId="1516" priority="5430"/>
    <cfRule type="duplicateValues" dxfId="1515" priority="5428"/>
    <cfRule type="duplicateValues" dxfId="1514" priority="5429"/>
    <cfRule type="duplicateValues" dxfId="1513" priority="5431"/>
    <cfRule type="duplicateValues" dxfId="1512" priority="5432"/>
    <cfRule type="duplicateValues" dxfId="1511" priority="5433"/>
    <cfRule type="duplicateValues" dxfId="1510" priority="5434"/>
    <cfRule type="duplicateValues" dxfId="1509" priority="5435"/>
  </conditionalFormatting>
  <conditionalFormatting sqref="C531:C532">
    <cfRule type="duplicateValues" dxfId="1508" priority="1540"/>
  </conditionalFormatting>
  <conditionalFormatting sqref="C533">
    <cfRule type="duplicateValues" dxfId="1507" priority="94"/>
  </conditionalFormatting>
  <conditionalFormatting sqref="C534">
    <cfRule type="duplicateValues" dxfId="1506" priority="1913"/>
    <cfRule type="duplicateValues" dxfId="1505" priority="1910"/>
    <cfRule type="duplicateValues" dxfId="1504" priority="1911"/>
    <cfRule type="duplicateValues" dxfId="1503" priority="1912"/>
  </conditionalFormatting>
  <conditionalFormatting sqref="C536">
    <cfRule type="duplicateValues" dxfId="1502" priority="7423"/>
  </conditionalFormatting>
  <conditionalFormatting sqref="C537:C541">
    <cfRule type="duplicateValues" dxfId="1501" priority="775"/>
    <cfRule type="duplicateValues" dxfId="1500" priority="774"/>
    <cfRule type="duplicateValues" dxfId="1499" priority="771"/>
    <cfRule type="duplicateValues" dxfId="1498" priority="770"/>
    <cfRule type="duplicateValues" dxfId="1497" priority="769"/>
    <cfRule type="duplicateValues" dxfId="1496" priority="768"/>
    <cfRule type="duplicateValues" dxfId="1495" priority="767"/>
    <cfRule type="duplicateValues" dxfId="1494" priority="785"/>
    <cfRule type="duplicateValues" dxfId="1493" priority="766"/>
    <cfRule type="duplicateValues" dxfId="1492" priority="765"/>
    <cfRule type="duplicateValues" dxfId="1491" priority="764"/>
    <cfRule type="duplicateValues" dxfId="1490" priority="777"/>
    <cfRule type="duplicateValues" dxfId="1489" priority="758"/>
    <cfRule type="duplicateValues" dxfId="1488" priority="759"/>
    <cfRule type="duplicateValues" dxfId="1487" priority="781"/>
    <cfRule type="duplicateValues" dxfId="1486" priority="780"/>
    <cfRule type="duplicateValues" dxfId="1485" priority="779"/>
    <cfRule type="duplicateValues" dxfId="1484" priority="778"/>
    <cfRule type="duplicateValues" dxfId="1483" priority="760"/>
    <cfRule type="duplicateValues" dxfId="1482" priority="761"/>
    <cfRule type="duplicateValues" dxfId="1481" priority="784"/>
    <cfRule type="duplicateValues" dxfId="1480" priority="773"/>
    <cfRule type="duplicateValues" dxfId="1479" priority="757"/>
    <cfRule type="duplicateValues" dxfId="1478" priority="763"/>
    <cfRule type="duplicateValues" dxfId="1477" priority="772"/>
    <cfRule type="duplicateValues" dxfId="1476" priority="776"/>
    <cfRule type="duplicateValues" dxfId="1475" priority="762"/>
    <cfRule type="duplicateValues" dxfId="1474" priority="783"/>
    <cfRule type="duplicateValues" dxfId="1473" priority="782"/>
  </conditionalFormatting>
  <conditionalFormatting sqref="C542:C543">
    <cfRule type="duplicateValues" dxfId="1472" priority="1099"/>
    <cfRule type="duplicateValues" dxfId="1471" priority="1101"/>
    <cfRule type="duplicateValues" dxfId="1470" priority="1103"/>
    <cfRule type="duplicateValues" dxfId="1469" priority="1102"/>
    <cfRule type="duplicateValues" dxfId="1468" priority="1100"/>
  </conditionalFormatting>
  <conditionalFormatting sqref="C544">
    <cfRule type="duplicateValues" dxfId="1467" priority="977"/>
    <cfRule type="duplicateValues" dxfId="1466" priority="979"/>
    <cfRule type="duplicateValues" dxfId="1465" priority="978"/>
    <cfRule type="duplicateValues" dxfId="1464" priority="976"/>
    <cfRule type="duplicateValues" dxfId="1463" priority="980"/>
  </conditionalFormatting>
  <conditionalFormatting sqref="C546">
    <cfRule type="duplicateValues" dxfId="1462" priority="1127"/>
  </conditionalFormatting>
  <conditionalFormatting sqref="C546:C551 C562:C567 C553:C556 C572:C573 C575:C576">
    <cfRule type="duplicateValues" dxfId="1461" priority="1104"/>
  </conditionalFormatting>
  <conditionalFormatting sqref="C547 C573 C549:C550 C553:C555 C562 C575:C576">
    <cfRule type="duplicateValues" dxfId="1460" priority="1280"/>
  </conditionalFormatting>
  <conditionalFormatting sqref="C547 C573 C549:C550 C553:C556 C562 C575:C576">
    <cfRule type="duplicateValues" dxfId="1459" priority="1284"/>
  </conditionalFormatting>
  <conditionalFormatting sqref="C547">
    <cfRule type="duplicateValues" dxfId="1458" priority="1283"/>
    <cfRule type="duplicateValues" dxfId="1457" priority="1273"/>
  </conditionalFormatting>
  <conditionalFormatting sqref="C548">
    <cfRule type="duplicateValues" dxfId="1456" priority="1126"/>
    <cfRule type="duplicateValues" dxfId="1455" priority="1125"/>
  </conditionalFormatting>
  <conditionalFormatting sqref="C549">
    <cfRule type="duplicateValues" dxfId="1454" priority="1241"/>
    <cfRule type="duplicateValues" dxfId="1453" priority="1242"/>
    <cfRule type="duplicateValues" dxfId="1452" priority="1235"/>
    <cfRule type="duplicateValues" dxfId="1451" priority="1243"/>
    <cfRule type="duplicateValues" dxfId="1450" priority="1244"/>
    <cfRule type="duplicateValues" dxfId="1449" priority="1240"/>
    <cfRule type="duplicateValues" dxfId="1448" priority="1239"/>
    <cfRule type="duplicateValues" dxfId="1447" priority="1238"/>
    <cfRule type="duplicateValues" dxfId="1446" priority="1237"/>
    <cfRule type="duplicateValues" dxfId="1445" priority="1236"/>
    <cfRule type="duplicateValues" dxfId="1444" priority="1234"/>
    <cfRule type="duplicateValues" dxfId="1443" priority="1233"/>
    <cfRule type="duplicateValues" dxfId="1442" priority="1232"/>
    <cfRule type="duplicateValues" dxfId="1441" priority="1231"/>
    <cfRule type="duplicateValues" dxfId="1440" priority="1230"/>
    <cfRule type="duplicateValues" dxfId="1439" priority="1229"/>
  </conditionalFormatting>
  <conditionalFormatting sqref="C550 C547 C562">
    <cfRule type="duplicateValues" dxfId="1438" priority="1275"/>
  </conditionalFormatting>
  <conditionalFormatting sqref="C550 C547">
    <cfRule type="duplicateValues" dxfId="1437" priority="1274"/>
  </conditionalFormatting>
  <conditionalFormatting sqref="C550 C575 C547 C562">
    <cfRule type="duplicateValues" dxfId="1436" priority="1276"/>
  </conditionalFormatting>
  <conditionalFormatting sqref="C551">
    <cfRule type="duplicateValues" dxfId="1435" priority="1120"/>
    <cfRule type="duplicateValues" dxfId="1434" priority="1121"/>
    <cfRule type="duplicateValues" dxfId="1433" priority="1122"/>
    <cfRule type="duplicateValues" dxfId="1432" priority="1123"/>
    <cfRule type="duplicateValues" dxfId="1431" priority="1110"/>
    <cfRule type="duplicateValues" dxfId="1430" priority="1124"/>
    <cfRule type="duplicateValues" dxfId="1429" priority="1109"/>
    <cfRule type="duplicateValues" dxfId="1428" priority="1111"/>
    <cfRule type="duplicateValues" dxfId="1427" priority="1112"/>
    <cfRule type="duplicateValues" dxfId="1426" priority="1113"/>
    <cfRule type="duplicateValues" dxfId="1425" priority="1114"/>
    <cfRule type="duplicateValues" dxfId="1424" priority="1108"/>
    <cfRule type="duplicateValues" dxfId="1423" priority="1115"/>
    <cfRule type="duplicateValues" dxfId="1422" priority="1117"/>
    <cfRule type="duplicateValues" dxfId="1421" priority="1116"/>
    <cfRule type="duplicateValues" dxfId="1420" priority="1107"/>
    <cfRule type="duplicateValues" dxfId="1419" priority="1106"/>
    <cfRule type="duplicateValues" dxfId="1418" priority="1105"/>
    <cfRule type="duplicateValues" dxfId="1417" priority="1118"/>
    <cfRule type="duplicateValues" dxfId="1416" priority="1119"/>
  </conditionalFormatting>
  <conditionalFormatting sqref="C552">
    <cfRule type="duplicateValues" dxfId="1415" priority="337"/>
    <cfRule type="duplicateValues" dxfId="1414" priority="336"/>
    <cfRule type="duplicateValues" dxfId="1413" priority="335"/>
    <cfRule type="duplicateValues" dxfId="1412" priority="334"/>
  </conditionalFormatting>
  <conditionalFormatting sqref="C553">
    <cfRule type="duplicateValues" dxfId="1411" priority="1219"/>
    <cfRule type="duplicateValues" dxfId="1410" priority="1223"/>
    <cfRule type="duplicateValues" dxfId="1409" priority="1224"/>
    <cfRule type="duplicateValues" dxfId="1408" priority="1225"/>
    <cfRule type="duplicateValues" dxfId="1407" priority="1220"/>
    <cfRule type="duplicateValues" dxfId="1406" priority="1221"/>
    <cfRule type="duplicateValues" dxfId="1405" priority="1222"/>
    <cfRule type="duplicateValues" dxfId="1404" priority="1213"/>
    <cfRule type="duplicateValues" dxfId="1403" priority="1214"/>
    <cfRule type="duplicateValues" dxfId="1402" priority="1215"/>
    <cfRule type="duplicateValues" dxfId="1401" priority="1216"/>
    <cfRule type="duplicateValues" dxfId="1400" priority="1217"/>
    <cfRule type="duplicateValues" dxfId="1399" priority="1218"/>
    <cfRule type="duplicateValues" dxfId="1398" priority="1228"/>
    <cfRule type="duplicateValues" dxfId="1397" priority="1227"/>
    <cfRule type="duplicateValues" dxfId="1396" priority="1226"/>
  </conditionalFormatting>
  <conditionalFormatting sqref="C554:C555 C550 C575:C576 C547 C562">
    <cfRule type="duplicateValues" dxfId="1395" priority="1279"/>
  </conditionalFormatting>
  <conditionalFormatting sqref="C554:C555">
    <cfRule type="duplicateValues" dxfId="1394" priority="1251"/>
    <cfRule type="duplicateValues" dxfId="1393" priority="1250"/>
    <cfRule type="duplicateValues" dxfId="1392" priority="1249"/>
    <cfRule type="duplicateValues" dxfId="1391" priority="1263"/>
    <cfRule type="duplicateValues" dxfId="1390" priority="1262"/>
    <cfRule type="duplicateValues" dxfId="1389" priority="1261"/>
    <cfRule type="duplicateValues" dxfId="1388" priority="1260"/>
    <cfRule type="duplicateValues" dxfId="1387" priority="1259"/>
    <cfRule type="duplicateValues" dxfId="1386" priority="1258"/>
    <cfRule type="duplicateValues" dxfId="1385" priority="1256"/>
    <cfRule type="duplicateValues" dxfId="1384" priority="1255"/>
    <cfRule type="duplicateValues" dxfId="1383" priority="1254"/>
    <cfRule type="duplicateValues" dxfId="1382" priority="1253"/>
    <cfRule type="duplicateValues" dxfId="1381" priority="1252"/>
    <cfRule type="duplicateValues" dxfId="1380" priority="1257"/>
  </conditionalFormatting>
  <conditionalFormatting sqref="C556">
    <cfRule type="duplicateValues" dxfId="1379" priority="1168"/>
    <cfRule type="duplicateValues" dxfId="1378" priority="1181"/>
    <cfRule type="duplicateValues" dxfId="1377" priority="1174"/>
    <cfRule type="duplicateValues" dxfId="1376" priority="1182"/>
    <cfRule type="duplicateValues" dxfId="1375" priority="1183"/>
    <cfRule type="duplicateValues" dxfId="1374" priority="1184"/>
    <cfRule type="duplicateValues" dxfId="1373" priority="1170"/>
    <cfRule type="duplicateValues" dxfId="1372" priority="1175"/>
    <cfRule type="duplicateValues" dxfId="1371" priority="1176"/>
    <cfRule type="duplicateValues" dxfId="1370" priority="1177"/>
    <cfRule type="duplicateValues" dxfId="1369" priority="1179"/>
    <cfRule type="duplicateValues" dxfId="1368" priority="1180"/>
    <cfRule type="duplicateValues" dxfId="1367" priority="1186"/>
    <cfRule type="duplicateValues" dxfId="1366" priority="1187"/>
    <cfRule type="duplicateValues" dxfId="1365" priority="1169"/>
    <cfRule type="duplicateValues" dxfId="1364" priority="1178"/>
    <cfRule type="duplicateValues" dxfId="1363" priority="1185"/>
    <cfRule type="duplicateValues" dxfId="1362" priority="1173"/>
    <cfRule type="duplicateValues" dxfId="1361" priority="1172"/>
    <cfRule type="duplicateValues" dxfId="1360" priority="1171"/>
  </conditionalFormatting>
  <conditionalFormatting sqref="C557:C558">
    <cfRule type="duplicateValues" dxfId="1359" priority="467"/>
  </conditionalFormatting>
  <conditionalFormatting sqref="C559:C561">
    <cfRule type="duplicateValues" dxfId="1358" priority="630"/>
  </conditionalFormatting>
  <conditionalFormatting sqref="C559:C567 C344 C1:C6 C504 C307 C27 C351 C508:C510 C106:C110 C58:C59 C147:C151 C348 C311 C500:C502 C160 C316:C317 C515 C553:C556 C61 C274:C277 C477:C478 C164 C33:C36 C356:C363 C42:C43 C194:C210 C572:C573 C378:C379 C20:C23 C282:C285 C270 C18 C494:C498 C575:C1048576 C313 C332 C233:C246 C517:C518 C264 C482 C353 C520:C532 C69:C103 C295:C296 C387:C462 C38 C10:C14 C50:C52 C334:C336 C485:C487 C63:C67 C175:C180 C534:C551 C54 C16 C113:C115 C124:C139 C256:C260 C323:C326 C365:C366 C465:C470 C185:C191 C117:C121 C141:C145 C368:C370 C298:C303 C45:C47 C381:C384">
    <cfRule type="duplicateValues" dxfId="1357" priority="596"/>
  </conditionalFormatting>
  <conditionalFormatting sqref="C562">
    <cfRule type="duplicateValues" dxfId="1356" priority="1277"/>
  </conditionalFormatting>
  <conditionalFormatting sqref="C563:C565">
    <cfRule type="duplicateValues" dxfId="1355" priority="1159"/>
    <cfRule type="duplicateValues" dxfId="1354" priority="1163"/>
    <cfRule type="duplicateValues" dxfId="1353" priority="1162"/>
    <cfRule type="duplicateValues" dxfId="1352" priority="1161"/>
    <cfRule type="duplicateValues" dxfId="1351" priority="1167"/>
    <cfRule type="duplicateValues" dxfId="1350" priority="1164"/>
    <cfRule type="duplicateValues" dxfId="1349" priority="1158"/>
    <cfRule type="duplicateValues" dxfId="1348" priority="1157"/>
    <cfRule type="duplicateValues" dxfId="1347" priority="1156"/>
    <cfRule type="duplicateValues" dxfId="1346" priority="1155"/>
    <cfRule type="duplicateValues" dxfId="1345" priority="1165"/>
    <cfRule type="duplicateValues" dxfId="1344" priority="1166"/>
    <cfRule type="duplicateValues" dxfId="1343" priority="1160"/>
  </conditionalFormatting>
  <conditionalFormatting sqref="C566">
    <cfRule type="duplicateValues" dxfId="1342" priority="1140"/>
  </conditionalFormatting>
  <conditionalFormatting sqref="C567 C573 C547 C549:C550 C553:C556 C562:C565 C575:C576">
    <cfRule type="duplicateValues" dxfId="1341" priority="1292"/>
  </conditionalFormatting>
  <conditionalFormatting sqref="C567">
    <cfRule type="duplicateValues" dxfId="1340" priority="1146"/>
    <cfRule type="duplicateValues" dxfId="1339" priority="1148"/>
    <cfRule type="duplicateValues" dxfId="1338" priority="1145"/>
    <cfRule type="duplicateValues" dxfId="1337" priority="1147"/>
  </conditionalFormatting>
  <conditionalFormatting sqref="C568:C571">
    <cfRule type="duplicateValues" dxfId="1336" priority="312"/>
    <cfRule type="duplicateValues" dxfId="1335" priority="310"/>
    <cfRule type="duplicateValues" dxfId="1334" priority="309"/>
    <cfRule type="duplicateValues" dxfId="1333" priority="308"/>
    <cfRule type="duplicateValues" dxfId="1332" priority="311"/>
  </conditionalFormatting>
  <conditionalFormatting sqref="C572">
    <cfRule type="duplicateValues" dxfId="1331" priority="1134"/>
    <cfRule type="duplicateValues" dxfId="1330" priority="1133"/>
    <cfRule type="duplicateValues" dxfId="1329" priority="1132"/>
    <cfRule type="duplicateValues" dxfId="1328" priority="1131"/>
    <cfRule type="duplicateValues" dxfId="1327" priority="1130"/>
    <cfRule type="duplicateValues" dxfId="1326" priority="1129"/>
    <cfRule type="duplicateValues" dxfId="1325" priority="1128"/>
    <cfRule type="duplicateValues" dxfId="1324" priority="1135"/>
  </conditionalFormatting>
  <conditionalFormatting sqref="C573 C547 C549:C550 C553:C556 C562:C565 C575:C576">
    <cfRule type="duplicateValues" dxfId="1323" priority="1289"/>
    <cfRule type="duplicateValues" dxfId="1322" priority="1290"/>
    <cfRule type="duplicateValues" dxfId="1321" priority="1287"/>
  </conditionalFormatting>
  <conditionalFormatting sqref="C573">
    <cfRule type="duplicateValues" dxfId="1320" priority="1210"/>
    <cfRule type="duplicateValues" dxfId="1319" priority="1211"/>
    <cfRule type="duplicateValues" dxfId="1318" priority="1212"/>
    <cfRule type="duplicateValues" dxfId="1317" priority="1291"/>
    <cfRule type="duplicateValues" dxfId="1316" priority="1208"/>
    <cfRule type="duplicateValues" dxfId="1315" priority="1209"/>
  </conditionalFormatting>
  <conditionalFormatting sqref="C574">
    <cfRule type="duplicateValues" dxfId="1314" priority="266"/>
    <cfRule type="duplicateValues" dxfId="1313" priority="265"/>
    <cfRule type="duplicateValues" dxfId="1312" priority="264"/>
  </conditionalFormatting>
  <conditionalFormatting sqref="C576">
    <cfRule type="duplicateValues" dxfId="1311" priority="1248"/>
    <cfRule type="duplicateValues" dxfId="1310" priority="1247"/>
    <cfRule type="duplicateValues" dxfId="1309" priority="1246"/>
    <cfRule type="duplicateValues" dxfId="1308" priority="1245"/>
  </conditionalFormatting>
  <conditionalFormatting sqref="C577">
    <cfRule type="duplicateValues" dxfId="1307" priority="1074"/>
    <cfRule type="duplicateValues" dxfId="1306" priority="1075"/>
    <cfRule type="duplicateValues" dxfId="1305" priority="1076"/>
    <cfRule type="duplicateValues" dxfId="1304" priority="1077"/>
  </conditionalFormatting>
  <conditionalFormatting sqref="C578:C1048576 C1:C4 C12:C14 C525 C432:C436 C361 C260 C408 C383 C504 C529:C530 C501 C84 C423 C494:C495 C303 C336 C86:C89 C535:C536 C438 C75 C77:C79 C233 C22:C23 C419:C420 C125:C128 C240:C246 C58 C191 C186:C187 C108 C10 C130:C132 C118 C63:C64 C91:C102 C121 C27 C136 C138 C235:C236 C81 C36 C363 C143:C144 C497:C498 C38 C6 C45:C47 C274 C42:C43 C270 C264 C50:C52 C54">
    <cfRule type="duplicateValues" dxfId="1303" priority="3459"/>
  </conditionalFormatting>
  <conditionalFormatting sqref="C578:C1048576 C1:C4 C361 C12:C14 C525 C432:C436 C260 C408 C504 C529:C530 C501 C84 C423 C494:C495 C303 C336 C86:C89 C535:C536 C438 C75 C77:C79 C233 C22:C23 C419:C420 C125:C128 C240:C246 C58 C191 C186:C187 C10 C130:C132 C118 C63:C64 C91:C102 C121 C27 C136 C138 C235:C236 C81 C36 C363 C143:C144 C497:C498 C38 C6 C45:C47 C274 C42:C43 C270 C264 C50:C52 C54">
    <cfRule type="duplicateValues" dxfId="1302" priority="3521"/>
  </conditionalFormatting>
  <conditionalFormatting sqref="C578:C1048576 C361 C1:C4 C191 C432 C64 C494:C495 C58 C99:C102 C93:C95 C126 C501 C504 C86:C89 C303 C530 C54 C36 C408 C525 C144 C130:C131 C138 C233 C270 C336 C240:C246 C260 C128 C22 C78 C434:C435 C535:C536 C419:C420 C235:C236 C363 C497:C498 C38 C6 C274">
    <cfRule type="duplicateValues" dxfId="1301" priority="5900"/>
  </conditionalFormatting>
  <conditionalFormatting sqref="C578:C1048576 C361 C1:C4 C260 C22:C23 C51:C52 C270 C78 C434:C436 C12 C501 C494:C495 C191 C408 C233 C46:C47 C81 C535:C536 C64 C75 C432 C303 C423 C525 C504 C529:C530 C84 C336 C86:C89 C419:C420 C125:C128 C240:C246 C58 C186:C187 C10 C130:C132 C118 C91:C102 C121 C136 C138 C235:C236 C36 C363 C143:C144 C497:C498 C38 C6 C274 C42:C43 C264 C54">
    <cfRule type="duplicateValues" dxfId="1300" priority="4199"/>
  </conditionalFormatting>
  <conditionalFormatting sqref="C578:C1048576 C397:C398 C1:C4 C478 C535:C536 C336 C186:C187 C75 C67 C361 C508:C510 C415:C417 C300:C301 C36 C363 C178:C179 C22:C23 C351 C494:C495 C258:C260 C143:C144 C366 C115 C369:C370 C515 C522:C525 C58 C191 C358 C401:C405 C419:C450 C500:C502 C108 C61 C135:C136 C27 C529:C530 C353 C383 C77:C102 C12:C14 C117:C119 C497:C498 C138 C303 C233:C246 C38 C121 C130:C132 C6 C45:C47 C71:C72 C408 C504 C274 C356 C42:C43 C378:C379 C270 C517:C518 C264 C482 C10 C50:C52 C485:C487 C63:C64 C54 C124:C128 C381">
    <cfRule type="duplicateValues" dxfId="1299" priority="1971"/>
  </conditionalFormatting>
  <conditionalFormatting sqref="C578:C1048576 C504 C1:C4 C130:C132 C115 C84:C102 C235:C246 C336 C432:C436 C501 C61 C233 C358 C444:C449 C438 C63:C64 C124:C128 C81 C517:C518 C351 C529:C530 C383 C75 C397:C398 C478 C535:C536 C186:C187 C67 C361 C508:C510 C415:C417 C300:C301 C36 C363 C178:C179 C22:C23 C494:C495 C258:C260 C143:C144 C366 C369:C370 C522:C525 C58 C191 C401:C405 C419:C428 C108 C135:C136 C27 C77:C79 C12:C14 C117:C119 C497:C498 C138 C303 C38 C121 C6 C45:C47 C408 C274 C42:C43 C270 C264 C482 C10 C50:C52 C485:C487 C54">
    <cfRule type="duplicateValues" dxfId="1298" priority="2157"/>
  </conditionalFormatting>
  <conditionalFormatting sqref="C578:C1048576 C525 C1:C4 C408 C99:C102 C144 C125:C126 C130:C132 C138 C233 C270 C336 C240:C246 C303 C361 C91:C95 C64 C54 C47 C58 C501 C494:C495 C75 C260 C86:C89 C128 C22 C51 C78 C434:C436 C191 C81 C535:C536 C432 C504 C529:C530 C84 C419:C420 C235:C236 C36 C363 C497:C498 C38 C6 C274">
    <cfRule type="duplicateValues" dxfId="1297" priority="5291"/>
  </conditionalFormatting>
  <conditionalFormatting sqref="C578:C1048576 C525 C1:C4 C432:C436 C361 C260 C408 C383 C504 C529:C530 C501 C84 C423 C494:C495 C303 C336 C86:C89 C535:C536 C438 C75 C77:C79 C233 C22:C23 C419:C420 C125:C128 C240:C246 C58 C191 C186:C187 C108 C10 C130:C132 C118 C63:C64 C91:C102 C121 C27 C136 C138 C235:C236 C81 C36 C363 C143:C144 C12:C14 C497:C498 C38 C6 C45:C47 C274 C42:C43 C270 C264 C50:C52 C54">
    <cfRule type="duplicateValues" dxfId="1296" priority="3412"/>
  </conditionalFormatting>
  <conditionalFormatting sqref="C578:C1048576 C525 C495 C1:C4 C336 C501 C504 C270 C54 C99:C102 C138 C64 C144 C274 C242:C244 C246 C191 C58 C93:C95 C126 C86:C89 C303 C530 C130 C233 C240 C128 C22 C78 C535:C536 C235:C236 C497:C498">
    <cfRule type="duplicateValues" dxfId="1295" priority="6278"/>
  </conditionalFormatting>
  <conditionalFormatting sqref="C578:C1048576 C530 C125:C126 C1:C4 C191 C84 C494:C495 C54 C36 C408 C525 C99:C102 C144 C130:C132 C138 C233 C270 C336 C240:C246 C303 C361 C91:C95 C64 C58 C501 C75 C260 C86:C89 C128 C22 C78 C434:C436 C81 C535:C536 C432 C504 C419:C420 C235:C236 C363 C497:C498 C38 C6 C274">
    <cfRule type="duplicateValues" dxfId="1294" priority="5585"/>
  </conditionalFormatting>
  <conditionalFormatting sqref="C578:C1048576 C530 C494:C495 C1:C4 C58 C361 C99:C102 C93:C95 C126 C501 C504 C86:C89 C303 C191 C54 C36 C408 C525 C144 C130:C131 C138 C233 C270 C336 C240:C246 C64 C260 C128 C22 C78 C434:C435 C535:C536 C432 C419:C420 C235:C236 C363 C497:C498 C38 C6 C274">
    <cfRule type="duplicateValues" dxfId="1293" priority="5826"/>
  </conditionalFormatting>
  <conditionalFormatting sqref="C578:C1048576 C536 C1:C3 C303 C54 C144 C22 C495 C336 C101">
    <cfRule type="duplicateValues" dxfId="1292" priority="6988"/>
  </conditionalFormatting>
  <conditionalFormatting sqref="C578:C1048576 C536 C495 C1:C3 C54 C303 C22 C336 C144 C101">
    <cfRule type="duplicateValues" dxfId="1291" priority="7160"/>
  </conditionalFormatting>
  <conditionalFormatting sqref="C614">
    <cfRule type="duplicateValues" dxfId="1290" priority="8038"/>
  </conditionalFormatting>
  <conditionalFormatting sqref="C616">
    <cfRule type="duplicateValues" dxfId="1289" priority="8033"/>
  </conditionalFormatting>
  <conditionalFormatting sqref="C616:C625">
    <cfRule type="duplicateValues" dxfId="1288" priority="8029"/>
  </conditionalFormatting>
  <conditionalFormatting sqref="C618">
    <cfRule type="duplicateValues" dxfId="1287" priority="8031"/>
  </conditionalFormatting>
  <conditionalFormatting sqref="C836">
    <cfRule type="duplicateValues" dxfId="1286" priority="8042"/>
  </conditionalFormatting>
  <conditionalFormatting sqref="C857">
    <cfRule type="duplicateValues" dxfId="1285" priority="8039"/>
  </conditionalFormatting>
  <conditionalFormatting sqref="C984">
    <cfRule type="duplicateValues" dxfId="1284" priority="8035"/>
  </conditionalFormatting>
  <conditionalFormatting sqref="E4">
    <cfRule type="duplicateValues" dxfId="1283" priority="18298"/>
  </conditionalFormatting>
  <conditionalFormatting sqref="H280">
    <cfRule type="duplicateValues" dxfId="1282" priority="5862"/>
  </conditionalFormatting>
  <conditionalFormatting sqref="K192">
    <cfRule type="duplicateValues" dxfId="1281" priority="6265"/>
  </conditionalFormatting>
  <conditionalFormatting sqref="Q822:Q840 Q1005:Q1009">
    <cfRule type="cellIs" dxfId="1280" priority="8043" operator="lessThan">
      <formula>0</formula>
    </cfRule>
  </conditionalFormatting>
  <conditionalFormatting sqref="Y17">
    <cfRule type="duplicateValues" dxfId="1279" priority="3931"/>
    <cfRule type="duplicateValues" dxfId="1278" priority="3927"/>
    <cfRule type="duplicateValues" dxfId="1277" priority="3928"/>
    <cfRule type="duplicateValues" dxfId="1276" priority="3929"/>
    <cfRule type="duplicateValues" dxfId="1275" priority="3930"/>
    <cfRule type="duplicateValues" dxfId="1274" priority="3932"/>
  </conditionalFormatting>
  <conditionalFormatting sqref="AB4">
    <cfRule type="duplicateValues" dxfId="1273" priority="20678"/>
    <cfRule type="duplicateValues" dxfId="1272" priority="20679"/>
    <cfRule type="duplicateValues" dxfId="1271" priority="20680"/>
  </conditionalFormatting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H23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5" sqref="A15"/>
    </sheetView>
  </sheetViews>
  <sheetFormatPr defaultRowHeight="12.75" x14ac:dyDescent="0.2"/>
  <cols>
    <col min="1" max="1" width="5.42578125" style="37" bestFit="1" customWidth="1"/>
    <col min="2" max="2" width="27.5703125" style="37" bestFit="1" customWidth="1"/>
    <col min="3" max="3" width="12.28515625" style="37" customWidth="1"/>
    <col min="4" max="12" width="9.140625" style="37"/>
    <col min="13" max="13" width="9.85546875" style="37" bestFit="1" customWidth="1"/>
    <col min="14" max="23" width="9.140625" style="37"/>
    <col min="24" max="24" width="9" style="37" customWidth="1"/>
    <col min="25" max="16384" width="9.140625" style="37"/>
  </cols>
  <sheetData>
    <row r="1" spans="1:34" s="32" customFormat="1" ht="15" customHeight="1" x14ac:dyDescent="0.25">
      <c r="A1" s="199" t="s">
        <v>85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1"/>
      <c r="AF1" s="31"/>
      <c r="AG1" s="31"/>
      <c r="AH1" s="31"/>
    </row>
    <row r="2" spans="1:34" s="135" customFormat="1" ht="18.75" customHeight="1" x14ac:dyDescent="0.2">
      <c r="A2" s="45" t="s">
        <v>21</v>
      </c>
      <c r="B2" s="45" t="s">
        <v>0</v>
      </c>
      <c r="C2" s="45" t="s">
        <v>29</v>
      </c>
      <c r="D2" s="133">
        <v>1</v>
      </c>
      <c r="E2" s="133">
        <v>2</v>
      </c>
      <c r="F2" s="133">
        <v>3</v>
      </c>
      <c r="G2" s="133">
        <v>4</v>
      </c>
      <c r="H2" s="133">
        <v>5</v>
      </c>
      <c r="I2" s="133">
        <v>6</v>
      </c>
      <c r="J2" s="133">
        <v>7</v>
      </c>
      <c r="K2" s="133">
        <v>8</v>
      </c>
      <c r="L2" s="133">
        <v>9</v>
      </c>
      <c r="M2" s="133">
        <v>10</v>
      </c>
      <c r="N2" s="134">
        <v>11</v>
      </c>
      <c r="O2" s="133">
        <v>12</v>
      </c>
      <c r="P2" s="133">
        <v>13</v>
      </c>
      <c r="Q2" s="133">
        <v>14</v>
      </c>
      <c r="R2" s="133">
        <v>15</v>
      </c>
      <c r="S2" s="133">
        <v>16</v>
      </c>
      <c r="T2" s="133">
        <v>17</v>
      </c>
      <c r="U2" s="133">
        <v>18</v>
      </c>
      <c r="V2" s="133">
        <v>19</v>
      </c>
      <c r="W2" s="133">
        <v>20</v>
      </c>
      <c r="X2" s="133">
        <v>21</v>
      </c>
      <c r="Y2" s="133">
        <v>22</v>
      </c>
      <c r="Z2" s="133">
        <v>23</v>
      </c>
      <c r="AA2" s="134">
        <v>24</v>
      </c>
      <c r="AB2" s="133">
        <v>25</v>
      </c>
      <c r="AC2" s="133">
        <v>26</v>
      </c>
      <c r="AD2" s="133">
        <v>27</v>
      </c>
      <c r="AE2" s="133">
        <v>28</v>
      </c>
      <c r="AF2" s="133">
        <v>29</v>
      </c>
      <c r="AG2" s="133">
        <v>30</v>
      </c>
      <c r="AH2" s="133">
        <v>31</v>
      </c>
    </row>
    <row r="3" spans="1:34" s="67" customFormat="1" ht="15" x14ac:dyDescent="0.25">
      <c r="A3" s="48">
        <v>1</v>
      </c>
      <c r="B3" s="132" t="s">
        <v>33</v>
      </c>
      <c r="C3" s="62">
        <f t="shared" ref="C3:C21" si="0">SUM(D3:AH3)</f>
        <v>0</v>
      </c>
      <c r="D3" s="70"/>
      <c r="E3" s="70"/>
      <c r="F3" s="70"/>
      <c r="G3" s="70"/>
      <c r="H3" s="70"/>
      <c r="I3" s="70"/>
      <c r="J3" s="71"/>
      <c r="K3" s="71"/>
      <c r="L3" s="70"/>
      <c r="M3" s="35"/>
      <c r="N3" s="35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56"/>
    </row>
    <row r="4" spans="1:34" s="67" customFormat="1" ht="15" x14ac:dyDescent="0.25">
      <c r="A4" s="48">
        <v>2</v>
      </c>
      <c r="B4" s="132" t="s">
        <v>34</v>
      </c>
      <c r="C4" s="62">
        <f t="shared" si="0"/>
        <v>0</v>
      </c>
      <c r="D4" s="40"/>
      <c r="E4" s="40"/>
      <c r="F4" s="40"/>
      <c r="G4" s="40"/>
      <c r="H4" s="40"/>
      <c r="I4" s="40"/>
      <c r="J4" s="40"/>
      <c r="K4" s="40"/>
      <c r="L4" s="40"/>
      <c r="M4" s="72"/>
      <c r="N4" s="35"/>
      <c r="O4" s="35"/>
      <c r="P4" s="35"/>
      <c r="Q4" s="35"/>
      <c r="R4" s="35"/>
      <c r="S4" s="35"/>
      <c r="T4" s="35"/>
      <c r="U4" s="35"/>
      <c r="V4" s="35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56"/>
    </row>
    <row r="5" spans="1:34" s="67" customFormat="1" ht="15" x14ac:dyDescent="0.25">
      <c r="A5" s="48">
        <v>3</v>
      </c>
      <c r="B5" s="132" t="s">
        <v>35</v>
      </c>
      <c r="C5" s="62">
        <f t="shared" si="0"/>
        <v>0</v>
      </c>
      <c r="D5" s="40"/>
      <c r="E5" s="40"/>
      <c r="F5" s="40"/>
      <c r="G5" s="40"/>
      <c r="H5" s="40"/>
      <c r="I5" s="40"/>
      <c r="J5" s="40"/>
      <c r="K5" s="40"/>
      <c r="L5" s="40"/>
      <c r="M5" s="72"/>
      <c r="N5" s="35"/>
      <c r="O5" s="35"/>
      <c r="P5" s="35"/>
      <c r="Q5" s="35"/>
      <c r="R5" s="35"/>
      <c r="S5" s="35"/>
      <c r="T5" s="35"/>
      <c r="U5" s="35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56"/>
    </row>
    <row r="6" spans="1:34" s="67" customFormat="1" ht="15" x14ac:dyDescent="0.25">
      <c r="A6" s="48">
        <v>4</v>
      </c>
      <c r="B6" s="132" t="s">
        <v>36</v>
      </c>
      <c r="C6" s="62">
        <f t="shared" si="0"/>
        <v>0</v>
      </c>
      <c r="D6" s="40"/>
      <c r="E6" s="40"/>
      <c r="F6" s="40"/>
      <c r="G6" s="40"/>
      <c r="H6" s="40"/>
      <c r="I6" s="40"/>
      <c r="J6" s="48"/>
      <c r="K6" s="40"/>
      <c r="L6" s="48"/>
      <c r="M6" s="50"/>
      <c r="N6" s="77"/>
      <c r="O6" s="48"/>
      <c r="P6" s="35"/>
      <c r="Q6" s="56"/>
      <c r="R6" s="35"/>
      <c r="S6" s="56"/>
      <c r="T6" s="56"/>
      <c r="U6" s="56"/>
      <c r="V6" s="56"/>
      <c r="W6" s="56"/>
      <c r="X6" s="3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spans="1:34" s="67" customFormat="1" ht="15" x14ac:dyDescent="0.25">
      <c r="A7" s="48">
        <v>5</v>
      </c>
      <c r="B7" s="132" t="s">
        <v>52</v>
      </c>
      <c r="C7" s="62">
        <f t="shared" si="0"/>
        <v>0</v>
      </c>
      <c r="D7" s="40"/>
      <c r="E7" s="40"/>
      <c r="F7" s="40"/>
      <c r="G7" s="40"/>
      <c r="H7" s="40"/>
      <c r="I7" s="40"/>
      <c r="J7" s="48"/>
      <c r="K7" s="40"/>
      <c r="L7" s="48"/>
      <c r="M7" s="50"/>
      <c r="N7" s="77"/>
      <c r="O7" s="48"/>
      <c r="P7" s="35"/>
      <c r="Q7" s="56"/>
      <c r="R7" s="35"/>
      <c r="S7" s="56"/>
      <c r="T7" s="56"/>
      <c r="U7" s="56"/>
      <c r="V7" s="56"/>
      <c r="W7" s="56"/>
      <c r="X7" s="3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4" s="67" customFormat="1" ht="15" x14ac:dyDescent="0.25">
      <c r="A8" s="48">
        <v>6</v>
      </c>
      <c r="B8" s="132" t="s">
        <v>82</v>
      </c>
      <c r="C8" s="62">
        <f t="shared" si="0"/>
        <v>0</v>
      </c>
      <c r="D8" s="40"/>
      <c r="E8" s="40"/>
      <c r="F8" s="40"/>
      <c r="G8" s="40"/>
      <c r="H8" s="40"/>
      <c r="I8" s="40"/>
      <c r="J8" s="48"/>
      <c r="K8" s="40"/>
      <c r="L8" s="48"/>
      <c r="M8" s="50"/>
      <c r="N8" s="77"/>
      <c r="O8" s="48"/>
      <c r="P8" s="35"/>
      <c r="Q8" s="56"/>
      <c r="R8" s="35"/>
      <c r="S8" s="56"/>
      <c r="T8" s="56"/>
      <c r="U8" s="56"/>
      <c r="V8" s="56"/>
      <c r="W8" s="56"/>
      <c r="X8" s="3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4" s="67" customFormat="1" ht="15" x14ac:dyDescent="0.25">
      <c r="A9" s="48">
        <v>7</v>
      </c>
      <c r="B9" s="132" t="s">
        <v>83</v>
      </c>
      <c r="C9" s="62">
        <f t="shared" si="0"/>
        <v>0</v>
      </c>
      <c r="D9" s="40"/>
      <c r="E9" s="40"/>
      <c r="F9" s="40"/>
      <c r="G9" s="40"/>
      <c r="H9" s="40"/>
      <c r="I9" s="40"/>
      <c r="J9" s="48"/>
      <c r="K9" s="40"/>
      <c r="L9" s="48"/>
      <c r="M9" s="50"/>
      <c r="N9" s="77"/>
      <c r="O9" s="48"/>
      <c r="P9" s="35"/>
      <c r="Q9" s="56"/>
      <c r="R9" s="35"/>
      <c r="S9" s="56"/>
      <c r="T9" s="56"/>
      <c r="U9" s="56"/>
      <c r="V9" s="56"/>
      <c r="W9" s="56"/>
      <c r="X9" s="3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 spans="1:34" s="67" customFormat="1" ht="15" x14ac:dyDescent="0.25">
      <c r="A10" s="48">
        <v>8</v>
      </c>
      <c r="B10" s="132" t="s">
        <v>55</v>
      </c>
      <c r="C10" s="62">
        <f t="shared" si="0"/>
        <v>0</v>
      </c>
      <c r="D10" s="40"/>
      <c r="E10" s="40"/>
      <c r="F10" s="40"/>
      <c r="G10" s="40"/>
      <c r="H10" s="40"/>
      <c r="I10" s="40"/>
      <c r="J10" s="48"/>
      <c r="K10" s="40"/>
      <c r="L10" s="48"/>
      <c r="M10" s="50"/>
      <c r="N10" s="77"/>
      <c r="O10" s="48"/>
      <c r="P10" s="35"/>
      <c r="Q10" s="56"/>
      <c r="R10" s="35"/>
      <c r="S10" s="56"/>
      <c r="T10" s="56"/>
      <c r="U10" s="56"/>
      <c r="V10" s="56"/>
      <c r="W10" s="56"/>
      <c r="X10" s="3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 spans="1:34" s="63" customFormat="1" ht="15" x14ac:dyDescent="0.2">
      <c r="A11" s="69"/>
      <c r="B11" s="83" t="s">
        <v>47</v>
      </c>
      <c r="C11" s="82">
        <f t="shared" ref="C11:AH11" si="1">SUM(C3:C10)</f>
        <v>0</v>
      </c>
      <c r="D11" s="82">
        <f t="shared" si="1"/>
        <v>0</v>
      </c>
      <c r="E11" s="82">
        <f t="shared" si="1"/>
        <v>0</v>
      </c>
      <c r="F11" s="82">
        <f t="shared" si="1"/>
        <v>0</v>
      </c>
      <c r="G11" s="82">
        <f t="shared" si="1"/>
        <v>0</v>
      </c>
      <c r="H11" s="82">
        <f t="shared" si="1"/>
        <v>0</v>
      </c>
      <c r="I11" s="82">
        <f t="shared" si="1"/>
        <v>0</v>
      </c>
      <c r="J11" s="82">
        <f t="shared" si="1"/>
        <v>0</v>
      </c>
      <c r="K11" s="82">
        <f t="shared" si="1"/>
        <v>0</v>
      </c>
      <c r="L11" s="82">
        <f t="shared" si="1"/>
        <v>0</v>
      </c>
      <c r="M11" s="82">
        <f t="shared" si="1"/>
        <v>0</v>
      </c>
      <c r="N11" s="82">
        <f t="shared" si="1"/>
        <v>0</v>
      </c>
      <c r="O11" s="82">
        <f t="shared" si="1"/>
        <v>0</v>
      </c>
      <c r="P11" s="82">
        <f t="shared" si="1"/>
        <v>0</v>
      </c>
      <c r="Q11" s="82">
        <f t="shared" si="1"/>
        <v>0</v>
      </c>
      <c r="R11" s="82">
        <f t="shared" si="1"/>
        <v>0</v>
      </c>
      <c r="S11" s="82">
        <f t="shared" si="1"/>
        <v>0</v>
      </c>
      <c r="T11" s="82">
        <f t="shared" si="1"/>
        <v>0</v>
      </c>
      <c r="U11" s="82">
        <f t="shared" si="1"/>
        <v>0</v>
      </c>
      <c r="V11" s="82">
        <f t="shared" si="1"/>
        <v>0</v>
      </c>
      <c r="W11" s="82">
        <f t="shared" si="1"/>
        <v>0</v>
      </c>
      <c r="X11" s="82">
        <f t="shared" si="1"/>
        <v>0</v>
      </c>
      <c r="Y11" s="82">
        <f t="shared" si="1"/>
        <v>0</v>
      </c>
      <c r="Z11" s="82">
        <f t="shared" si="1"/>
        <v>0</v>
      </c>
      <c r="AA11" s="82">
        <f t="shared" si="1"/>
        <v>0</v>
      </c>
      <c r="AB11" s="82">
        <f t="shared" si="1"/>
        <v>0</v>
      </c>
      <c r="AC11" s="82">
        <f t="shared" si="1"/>
        <v>0</v>
      </c>
      <c r="AD11" s="82">
        <f t="shared" si="1"/>
        <v>0</v>
      </c>
      <c r="AE11" s="82">
        <f t="shared" si="1"/>
        <v>0</v>
      </c>
      <c r="AF11" s="82">
        <f t="shared" si="1"/>
        <v>0</v>
      </c>
      <c r="AG11" s="82">
        <f t="shared" si="1"/>
        <v>0</v>
      </c>
      <c r="AH11" s="82">
        <f t="shared" si="1"/>
        <v>0</v>
      </c>
    </row>
    <row r="12" spans="1:34" s="63" customFormat="1" ht="15" x14ac:dyDescent="0.25">
      <c r="A12" s="65"/>
      <c r="B12" s="84" t="s">
        <v>42</v>
      </c>
      <c r="C12" s="62"/>
      <c r="D12" s="61"/>
      <c r="E12" s="61"/>
      <c r="F12" s="61"/>
      <c r="G12" s="61"/>
      <c r="H12" s="56"/>
      <c r="I12" s="61"/>
      <c r="J12" s="56"/>
      <c r="K12" s="56"/>
      <c r="M12" s="56"/>
      <c r="N12" s="64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 spans="1:34" s="63" customFormat="1" ht="15" x14ac:dyDescent="0.25">
      <c r="A13" s="65">
        <v>1</v>
      </c>
      <c r="B13" s="132" t="s">
        <v>43</v>
      </c>
      <c r="C13" s="62">
        <f t="shared" si="0"/>
        <v>0</v>
      </c>
      <c r="D13" s="49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80"/>
      <c r="Y13" s="35"/>
      <c r="Z13" s="35"/>
      <c r="AA13" s="35"/>
      <c r="AB13" s="35"/>
      <c r="AC13" s="35"/>
      <c r="AD13" s="35"/>
      <c r="AE13" s="56"/>
      <c r="AF13" s="56"/>
      <c r="AG13" s="56"/>
      <c r="AH13" s="56"/>
    </row>
    <row r="14" spans="1:34" s="63" customFormat="1" ht="15" x14ac:dyDescent="0.25">
      <c r="A14" s="65">
        <v>2</v>
      </c>
      <c r="B14" s="132" t="s">
        <v>44</v>
      </c>
      <c r="C14" s="62">
        <f t="shared" si="0"/>
        <v>0</v>
      </c>
      <c r="D14" s="49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81"/>
      <c r="Y14" s="35"/>
      <c r="Z14" s="35"/>
      <c r="AA14" s="35"/>
      <c r="AB14" s="35"/>
      <c r="AC14" s="35"/>
      <c r="AD14" s="35"/>
      <c r="AE14" s="56"/>
      <c r="AF14" s="56"/>
      <c r="AG14" s="56"/>
      <c r="AH14" s="56"/>
    </row>
    <row r="15" spans="1:34" s="63" customFormat="1" ht="15" x14ac:dyDescent="0.25">
      <c r="A15" s="65">
        <v>3</v>
      </c>
      <c r="B15" s="132" t="s">
        <v>45</v>
      </c>
      <c r="C15" s="62">
        <f t="shared" si="0"/>
        <v>0</v>
      </c>
      <c r="D15" s="49"/>
      <c r="E15" s="49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70"/>
      <c r="Y15" s="35"/>
      <c r="Z15" s="35"/>
      <c r="AA15" s="35"/>
      <c r="AB15" s="35"/>
      <c r="AC15" s="35"/>
      <c r="AD15" s="35"/>
      <c r="AE15" s="56"/>
      <c r="AF15" s="56"/>
      <c r="AG15" s="56"/>
      <c r="AH15" s="56"/>
    </row>
    <row r="16" spans="1:34" s="63" customFormat="1" ht="15" x14ac:dyDescent="0.25">
      <c r="A16" s="65">
        <v>4</v>
      </c>
      <c r="B16" s="132" t="s">
        <v>86</v>
      </c>
      <c r="C16" s="62"/>
      <c r="D16" s="49"/>
      <c r="E16" s="49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70"/>
      <c r="Y16" s="35"/>
      <c r="Z16" s="35"/>
      <c r="AA16" s="35"/>
      <c r="AB16" s="35"/>
      <c r="AC16" s="35"/>
      <c r="AD16" s="35"/>
      <c r="AE16" s="56"/>
      <c r="AF16" s="56"/>
      <c r="AG16" s="56"/>
      <c r="AH16" s="56"/>
    </row>
    <row r="17" spans="1:34" s="63" customFormat="1" ht="15.75" customHeight="1" x14ac:dyDescent="0.25">
      <c r="A17" s="65">
        <v>5</v>
      </c>
      <c r="B17" s="132" t="s">
        <v>80</v>
      </c>
      <c r="C17" s="62">
        <f t="shared" si="0"/>
        <v>0</v>
      </c>
      <c r="D17" s="49"/>
      <c r="E17" s="49"/>
      <c r="F17" s="49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70"/>
      <c r="Y17" s="35"/>
      <c r="Z17" s="35"/>
      <c r="AA17" s="35"/>
      <c r="AB17" s="35"/>
      <c r="AC17" s="35"/>
      <c r="AD17" s="35"/>
      <c r="AE17" s="56"/>
      <c r="AF17" s="56"/>
      <c r="AG17" s="56"/>
      <c r="AH17" s="56"/>
    </row>
    <row r="18" spans="1:34" s="63" customFormat="1" ht="15.75" customHeight="1" x14ac:dyDescent="0.25">
      <c r="A18" s="65">
        <v>6</v>
      </c>
      <c r="B18" s="132" t="s">
        <v>81</v>
      </c>
      <c r="C18" s="62">
        <f t="shared" si="0"/>
        <v>0</v>
      </c>
      <c r="D18" s="49"/>
      <c r="E18" s="49"/>
      <c r="F18" s="49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70"/>
      <c r="Y18" s="35"/>
      <c r="Z18" s="35"/>
      <c r="AA18" s="35"/>
      <c r="AB18" s="35"/>
      <c r="AC18" s="35"/>
      <c r="AD18" s="35"/>
      <c r="AE18" s="56"/>
      <c r="AF18" s="56"/>
      <c r="AG18" s="56"/>
      <c r="AH18" s="56"/>
    </row>
    <row r="19" spans="1:34" s="63" customFormat="1" ht="15" x14ac:dyDescent="0.25">
      <c r="A19" s="65">
        <v>7</v>
      </c>
      <c r="B19" s="132" t="s">
        <v>78</v>
      </c>
      <c r="C19" s="62">
        <f t="shared" si="0"/>
        <v>0</v>
      </c>
      <c r="D19" s="49"/>
      <c r="E19" s="49"/>
      <c r="F19" s="49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70"/>
      <c r="Y19" s="35"/>
      <c r="Z19" s="35"/>
      <c r="AA19" s="35"/>
      <c r="AB19" s="35"/>
      <c r="AC19" s="35"/>
      <c r="AD19" s="35"/>
      <c r="AE19" s="56"/>
      <c r="AF19" s="56"/>
      <c r="AG19" s="56"/>
      <c r="AH19" s="56"/>
    </row>
    <row r="20" spans="1:34" s="63" customFormat="1" ht="15" x14ac:dyDescent="0.25">
      <c r="A20" s="65">
        <v>8</v>
      </c>
      <c r="B20" s="132" t="s">
        <v>79</v>
      </c>
      <c r="C20" s="62">
        <f t="shared" si="0"/>
        <v>0</v>
      </c>
      <c r="D20" s="49"/>
      <c r="E20" s="49"/>
      <c r="F20" s="49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70"/>
      <c r="Y20" s="35"/>
      <c r="Z20" s="35"/>
      <c r="AA20" s="35"/>
      <c r="AB20" s="35"/>
      <c r="AC20" s="35"/>
      <c r="AD20" s="35"/>
      <c r="AE20" s="56"/>
      <c r="AF20" s="56"/>
      <c r="AG20" s="56"/>
      <c r="AH20" s="56"/>
    </row>
    <row r="21" spans="1:34" s="63" customFormat="1" ht="15" x14ac:dyDescent="0.25">
      <c r="A21" s="65">
        <v>9</v>
      </c>
      <c r="B21" s="132" t="s">
        <v>56</v>
      </c>
      <c r="C21" s="62">
        <f t="shared" si="0"/>
        <v>0</v>
      </c>
      <c r="D21" s="49"/>
      <c r="E21" s="49"/>
      <c r="F21" s="49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70"/>
      <c r="Y21" s="35"/>
      <c r="Z21" s="35"/>
      <c r="AA21" s="35"/>
      <c r="AB21" s="35"/>
      <c r="AC21" s="35"/>
      <c r="AD21" s="35"/>
      <c r="AE21" s="56"/>
      <c r="AF21" s="56"/>
      <c r="AG21" s="56"/>
      <c r="AH21" s="56"/>
    </row>
    <row r="22" spans="1:34" s="63" customFormat="1" ht="15.75" x14ac:dyDescent="0.25">
      <c r="A22" s="65"/>
      <c r="B22" s="79" t="s">
        <v>48</v>
      </c>
      <c r="C22" s="85">
        <f>SUM(C13:C21)</f>
        <v>0</v>
      </c>
      <c r="D22" s="85">
        <f t="shared" ref="D22:AH22" si="2">SUM(D13:D21)</f>
        <v>0</v>
      </c>
      <c r="E22" s="85">
        <f t="shared" si="2"/>
        <v>0</v>
      </c>
      <c r="F22" s="85">
        <f t="shared" si="2"/>
        <v>0</v>
      </c>
      <c r="G22" s="85">
        <f t="shared" si="2"/>
        <v>0</v>
      </c>
      <c r="H22" s="85">
        <f t="shared" si="2"/>
        <v>0</v>
      </c>
      <c r="I22" s="85">
        <f t="shared" si="2"/>
        <v>0</v>
      </c>
      <c r="J22" s="85">
        <f t="shared" si="2"/>
        <v>0</v>
      </c>
      <c r="K22" s="85">
        <f t="shared" si="2"/>
        <v>0</v>
      </c>
      <c r="L22" s="85">
        <f t="shared" si="2"/>
        <v>0</v>
      </c>
      <c r="M22" s="85">
        <f t="shared" si="2"/>
        <v>0</v>
      </c>
      <c r="N22" s="85">
        <f t="shared" si="2"/>
        <v>0</v>
      </c>
      <c r="O22" s="85">
        <f t="shared" si="2"/>
        <v>0</v>
      </c>
      <c r="P22" s="85">
        <f t="shared" si="2"/>
        <v>0</v>
      </c>
      <c r="Q22" s="85">
        <f t="shared" si="2"/>
        <v>0</v>
      </c>
      <c r="R22" s="85">
        <f t="shared" si="2"/>
        <v>0</v>
      </c>
      <c r="S22" s="85">
        <f t="shared" si="2"/>
        <v>0</v>
      </c>
      <c r="T22" s="85">
        <f t="shared" si="2"/>
        <v>0</v>
      </c>
      <c r="U22" s="85">
        <f t="shared" si="2"/>
        <v>0</v>
      </c>
      <c r="V22" s="85">
        <f t="shared" si="2"/>
        <v>0</v>
      </c>
      <c r="W22" s="85">
        <f t="shared" si="2"/>
        <v>0</v>
      </c>
      <c r="X22" s="85">
        <f t="shared" si="2"/>
        <v>0</v>
      </c>
      <c r="Y22" s="85">
        <f t="shared" si="2"/>
        <v>0</v>
      </c>
      <c r="Z22" s="85">
        <f t="shared" si="2"/>
        <v>0</v>
      </c>
      <c r="AA22" s="85">
        <f t="shared" si="2"/>
        <v>0</v>
      </c>
      <c r="AB22" s="85">
        <f t="shared" si="2"/>
        <v>0</v>
      </c>
      <c r="AC22" s="85">
        <f t="shared" si="2"/>
        <v>0</v>
      </c>
      <c r="AD22" s="85">
        <f t="shared" si="2"/>
        <v>0</v>
      </c>
      <c r="AE22" s="85">
        <f t="shared" si="2"/>
        <v>0</v>
      </c>
      <c r="AF22" s="85">
        <f t="shared" si="2"/>
        <v>0</v>
      </c>
      <c r="AG22" s="85">
        <f t="shared" si="2"/>
        <v>0</v>
      </c>
      <c r="AH22" s="85">
        <f t="shared" si="2"/>
        <v>0</v>
      </c>
    </row>
    <row r="23" spans="1:34" s="34" customFormat="1" ht="15" x14ac:dyDescent="0.2">
      <c r="A23" s="33"/>
      <c r="B23" s="41" t="s">
        <v>49</v>
      </c>
      <c r="C23" s="42">
        <f>+C11+C22</f>
        <v>0</v>
      </c>
      <c r="D23" s="42">
        <f t="shared" ref="D23:AH23" si="3">+D11+D22</f>
        <v>0</v>
      </c>
      <c r="E23" s="42">
        <f t="shared" si="3"/>
        <v>0</v>
      </c>
      <c r="F23" s="42">
        <f t="shared" si="3"/>
        <v>0</v>
      </c>
      <c r="G23" s="42">
        <f t="shared" si="3"/>
        <v>0</v>
      </c>
      <c r="H23" s="42">
        <f t="shared" si="3"/>
        <v>0</v>
      </c>
      <c r="I23" s="42">
        <f t="shared" si="3"/>
        <v>0</v>
      </c>
      <c r="J23" s="42">
        <f t="shared" si="3"/>
        <v>0</v>
      </c>
      <c r="K23" s="42">
        <f t="shared" si="3"/>
        <v>0</v>
      </c>
      <c r="L23" s="42">
        <f t="shared" si="3"/>
        <v>0</v>
      </c>
      <c r="M23" s="42">
        <f t="shared" si="3"/>
        <v>0</v>
      </c>
      <c r="N23" s="42">
        <f t="shared" si="3"/>
        <v>0</v>
      </c>
      <c r="O23" s="42">
        <f t="shared" si="3"/>
        <v>0</v>
      </c>
      <c r="P23" s="42">
        <f t="shared" si="3"/>
        <v>0</v>
      </c>
      <c r="Q23" s="42">
        <f t="shared" si="3"/>
        <v>0</v>
      </c>
      <c r="R23" s="42">
        <f t="shared" si="3"/>
        <v>0</v>
      </c>
      <c r="S23" s="42">
        <f t="shared" si="3"/>
        <v>0</v>
      </c>
      <c r="T23" s="42">
        <f t="shared" si="3"/>
        <v>0</v>
      </c>
      <c r="U23" s="42">
        <f t="shared" si="3"/>
        <v>0</v>
      </c>
      <c r="V23" s="42">
        <f t="shared" si="3"/>
        <v>0</v>
      </c>
      <c r="W23" s="42">
        <f t="shared" si="3"/>
        <v>0</v>
      </c>
      <c r="X23" s="42">
        <f t="shared" si="3"/>
        <v>0</v>
      </c>
      <c r="Y23" s="42">
        <f t="shared" si="3"/>
        <v>0</v>
      </c>
      <c r="Z23" s="42">
        <f t="shared" si="3"/>
        <v>0</v>
      </c>
      <c r="AA23" s="42">
        <f t="shared" si="3"/>
        <v>0</v>
      </c>
      <c r="AB23" s="42">
        <f t="shared" si="3"/>
        <v>0</v>
      </c>
      <c r="AC23" s="42">
        <f t="shared" si="3"/>
        <v>0</v>
      </c>
      <c r="AD23" s="42">
        <f t="shared" si="3"/>
        <v>0</v>
      </c>
      <c r="AE23" s="42">
        <f t="shared" si="3"/>
        <v>0</v>
      </c>
      <c r="AF23" s="42">
        <f t="shared" si="3"/>
        <v>0</v>
      </c>
      <c r="AG23" s="42">
        <f t="shared" si="3"/>
        <v>0</v>
      </c>
      <c r="AH23" s="42">
        <f t="shared" si="3"/>
        <v>0</v>
      </c>
    </row>
  </sheetData>
  <mergeCells count="1">
    <mergeCell ref="A1:AE1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K31"/>
  <sheetViews>
    <sheetView zoomScaleNormal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G28" sqref="G28"/>
    </sheetView>
  </sheetViews>
  <sheetFormatPr defaultRowHeight="15" x14ac:dyDescent="0.25"/>
  <cols>
    <col min="1" max="1" width="7" style="31" customWidth="1"/>
    <col min="2" max="2" width="27.5703125" style="31" bestFit="1" customWidth="1"/>
    <col min="3" max="3" width="13.140625" style="31" bestFit="1" customWidth="1"/>
    <col min="4" max="20" width="9.140625" style="31" customWidth="1"/>
    <col min="21" max="26" width="9.140625" style="32" customWidth="1"/>
    <col min="27" max="27" width="9.140625" style="31" customWidth="1"/>
    <col min="28" max="34" width="9.140625" style="32" customWidth="1"/>
    <col min="35" max="35" width="9.85546875" style="32" bestFit="1" customWidth="1"/>
    <col min="36" max="36" width="9.140625" style="32"/>
    <col min="37" max="37" width="11.140625" style="32" bestFit="1" customWidth="1"/>
    <col min="38" max="38" width="9.85546875" style="32" bestFit="1" customWidth="1"/>
    <col min="39" max="16384" width="9.140625" style="32"/>
  </cols>
  <sheetData>
    <row r="1" spans="1:37" ht="15.75" x14ac:dyDescent="0.25">
      <c r="A1" s="199" t="s">
        <v>84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</row>
    <row r="2" spans="1:37" s="53" customFormat="1" ht="27" customHeight="1" x14ac:dyDescent="0.2">
      <c r="A2" s="51" t="s">
        <v>21</v>
      </c>
      <c r="B2" s="51" t="s">
        <v>0</v>
      </c>
      <c r="C2" s="52" t="s">
        <v>27</v>
      </c>
      <c r="D2" s="68">
        <v>1</v>
      </c>
      <c r="E2" s="68">
        <v>2</v>
      </c>
      <c r="F2" s="68">
        <v>3</v>
      </c>
      <c r="G2" s="68">
        <v>4</v>
      </c>
      <c r="H2" s="68">
        <v>5</v>
      </c>
      <c r="I2" s="68">
        <v>6</v>
      </c>
      <c r="J2" s="68">
        <v>7</v>
      </c>
      <c r="K2" s="68">
        <v>8</v>
      </c>
      <c r="L2" s="68">
        <v>9</v>
      </c>
      <c r="M2" s="68">
        <v>10</v>
      </c>
      <c r="N2" s="68">
        <v>11</v>
      </c>
      <c r="O2" s="68">
        <v>12</v>
      </c>
      <c r="P2" s="68">
        <v>13</v>
      </c>
      <c r="Q2" s="68">
        <v>14</v>
      </c>
      <c r="R2" s="68">
        <v>15</v>
      </c>
      <c r="S2" s="68">
        <v>16</v>
      </c>
      <c r="T2" s="68">
        <v>17</v>
      </c>
      <c r="U2" s="68">
        <v>18</v>
      </c>
      <c r="V2" s="68">
        <v>19</v>
      </c>
      <c r="W2" s="68">
        <v>20</v>
      </c>
      <c r="X2" s="68">
        <v>21</v>
      </c>
      <c r="Y2" s="68">
        <v>22</v>
      </c>
      <c r="Z2" s="68">
        <v>23</v>
      </c>
      <c r="AA2" s="68">
        <v>24</v>
      </c>
      <c r="AB2" s="68">
        <v>25</v>
      </c>
      <c r="AC2" s="68">
        <v>26</v>
      </c>
      <c r="AD2" s="68">
        <v>27</v>
      </c>
      <c r="AE2" s="68">
        <v>28</v>
      </c>
      <c r="AF2" s="68">
        <v>29</v>
      </c>
      <c r="AG2" s="68">
        <v>30</v>
      </c>
      <c r="AH2" s="68">
        <v>31</v>
      </c>
    </row>
    <row r="3" spans="1:37" ht="12.75" customHeight="1" x14ac:dyDescent="0.25">
      <c r="A3" s="48">
        <v>1</v>
      </c>
      <c r="B3" s="132" t="s">
        <v>33</v>
      </c>
      <c r="C3" s="62">
        <f t="shared" ref="C3:C10" si="0">SUM(D3:AH3)</f>
        <v>0</v>
      </c>
      <c r="D3" s="35"/>
      <c r="E3" s="35"/>
      <c r="F3" s="35"/>
      <c r="G3" s="35"/>
      <c r="H3" s="35"/>
      <c r="I3" s="35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7"/>
      <c r="AB3" s="77"/>
      <c r="AC3" s="77"/>
      <c r="AD3" s="77"/>
      <c r="AE3" s="77"/>
      <c r="AF3" s="77"/>
      <c r="AG3" s="77"/>
      <c r="AH3" s="77"/>
      <c r="AK3" s="57"/>
    </row>
    <row r="4" spans="1:37" ht="12.75" customHeight="1" x14ac:dyDescent="0.25">
      <c r="A4" s="48">
        <v>2</v>
      </c>
      <c r="B4" s="132" t="s">
        <v>34</v>
      </c>
      <c r="C4" s="62">
        <f t="shared" si="0"/>
        <v>0</v>
      </c>
      <c r="D4" s="66"/>
      <c r="E4" s="66"/>
      <c r="F4" s="74"/>
      <c r="G4" s="75"/>
      <c r="H4" s="74"/>
      <c r="I4" s="75"/>
      <c r="J4" s="74"/>
      <c r="K4" s="75"/>
      <c r="L4" s="74"/>
      <c r="M4" s="75"/>
      <c r="N4" s="76"/>
      <c r="O4" s="77"/>
      <c r="P4" s="77"/>
      <c r="Q4" s="77"/>
      <c r="R4" s="77"/>
      <c r="S4" s="77"/>
      <c r="T4" s="77"/>
      <c r="U4" s="77"/>
      <c r="V4" s="77"/>
      <c r="W4" s="77"/>
      <c r="X4" s="78"/>
      <c r="Y4" s="77"/>
      <c r="Z4" s="77"/>
      <c r="AA4" s="77"/>
      <c r="AB4" s="77"/>
      <c r="AC4" s="77"/>
      <c r="AD4" s="77"/>
      <c r="AE4" s="77"/>
      <c r="AF4" s="77"/>
      <c r="AG4" s="77"/>
      <c r="AH4" s="77"/>
      <c r="AK4" s="57"/>
    </row>
    <row r="5" spans="1:37" ht="12.75" customHeight="1" x14ac:dyDescent="0.25">
      <c r="A5" s="48">
        <v>3</v>
      </c>
      <c r="B5" s="132" t="s">
        <v>35</v>
      </c>
      <c r="C5" s="62">
        <f t="shared" si="0"/>
        <v>0</v>
      </c>
      <c r="D5" s="54"/>
      <c r="E5" s="54"/>
      <c r="F5" s="55"/>
      <c r="G5" s="54"/>
      <c r="H5" s="55"/>
      <c r="I5" s="54"/>
      <c r="J5" s="55"/>
      <c r="K5" s="54"/>
      <c r="M5" s="55"/>
      <c r="N5" s="58"/>
      <c r="O5" s="77"/>
      <c r="P5" s="77"/>
      <c r="Q5" s="77"/>
      <c r="R5" s="77"/>
      <c r="S5" s="77"/>
      <c r="T5" s="77"/>
      <c r="U5" s="77"/>
      <c r="V5" s="77"/>
      <c r="W5" s="77"/>
      <c r="X5" s="78"/>
      <c r="Y5" s="77"/>
      <c r="Z5" s="77"/>
      <c r="AA5" s="77"/>
      <c r="AB5" s="77"/>
      <c r="AC5" s="77"/>
      <c r="AD5" s="77"/>
      <c r="AE5" s="77"/>
      <c r="AF5" s="77"/>
      <c r="AG5" s="77"/>
      <c r="AH5" s="77"/>
      <c r="AK5" s="57"/>
    </row>
    <row r="6" spans="1:37" ht="12.75" customHeight="1" x14ac:dyDescent="0.25">
      <c r="A6" s="48">
        <v>4</v>
      </c>
      <c r="B6" s="132" t="s">
        <v>36</v>
      </c>
      <c r="C6" s="62">
        <f t="shared" si="0"/>
        <v>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48"/>
      <c r="V6" s="49"/>
      <c r="W6" s="49"/>
      <c r="X6" s="35"/>
      <c r="Y6" s="49"/>
      <c r="Z6" s="35"/>
      <c r="AA6" s="77"/>
      <c r="AB6" s="77"/>
      <c r="AC6" s="77"/>
      <c r="AD6" s="77"/>
      <c r="AE6" s="77"/>
      <c r="AF6" s="77"/>
      <c r="AG6" s="77"/>
      <c r="AH6" s="77"/>
    </row>
    <row r="7" spans="1:37" ht="12.75" customHeight="1" x14ac:dyDescent="0.25">
      <c r="A7" s="48">
        <v>5</v>
      </c>
      <c r="B7" s="132" t="s">
        <v>52</v>
      </c>
      <c r="C7" s="62">
        <f t="shared" si="0"/>
        <v>0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48"/>
      <c r="V7" s="49"/>
      <c r="W7" s="49"/>
      <c r="X7" s="35"/>
      <c r="Y7" s="49"/>
      <c r="Z7" s="35"/>
      <c r="AA7" s="77"/>
      <c r="AB7" s="77"/>
      <c r="AC7" s="77"/>
      <c r="AD7" s="77"/>
      <c r="AE7" s="77"/>
      <c r="AF7" s="77"/>
      <c r="AG7" s="77"/>
      <c r="AH7" s="77"/>
    </row>
    <row r="8" spans="1:37" ht="12.75" customHeight="1" x14ac:dyDescent="0.25">
      <c r="A8" s="48">
        <v>6</v>
      </c>
      <c r="B8" s="132" t="s">
        <v>82</v>
      </c>
      <c r="C8" s="62">
        <f t="shared" si="0"/>
        <v>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48"/>
      <c r="V8" s="49"/>
      <c r="W8" s="49"/>
      <c r="X8" s="35"/>
      <c r="Y8" s="49"/>
      <c r="Z8" s="35"/>
      <c r="AA8" s="77"/>
      <c r="AB8" s="77"/>
      <c r="AC8" s="77"/>
      <c r="AD8" s="77"/>
      <c r="AE8" s="77"/>
      <c r="AF8" s="77"/>
      <c r="AG8" s="77"/>
      <c r="AH8" s="77"/>
    </row>
    <row r="9" spans="1:37" ht="12.75" customHeight="1" x14ac:dyDescent="0.25">
      <c r="A9" s="48">
        <v>7</v>
      </c>
      <c r="B9" s="132" t="s">
        <v>83</v>
      </c>
      <c r="C9" s="62">
        <f t="shared" si="0"/>
        <v>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48"/>
      <c r="V9" s="49"/>
      <c r="W9" s="49"/>
      <c r="X9" s="35"/>
      <c r="Y9" s="49"/>
      <c r="Z9" s="35"/>
      <c r="AA9" s="77"/>
      <c r="AB9" s="77"/>
      <c r="AC9" s="77"/>
      <c r="AD9" s="77"/>
      <c r="AE9" s="77"/>
      <c r="AF9" s="77"/>
      <c r="AG9" s="77"/>
      <c r="AH9" s="77"/>
    </row>
    <row r="10" spans="1:37" ht="12.75" customHeight="1" x14ac:dyDescent="0.25">
      <c r="A10" s="48">
        <v>8</v>
      </c>
      <c r="B10" s="132" t="s">
        <v>55</v>
      </c>
      <c r="C10" s="62">
        <f t="shared" si="0"/>
        <v>0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48"/>
      <c r="V10" s="49"/>
      <c r="W10" s="49"/>
      <c r="X10" s="35"/>
      <c r="Y10" s="49"/>
      <c r="Z10" s="35"/>
      <c r="AA10" s="77"/>
      <c r="AB10" s="77"/>
      <c r="AC10" s="77"/>
      <c r="AD10" s="77"/>
      <c r="AE10" s="77"/>
      <c r="AF10" s="77"/>
      <c r="AG10" s="77"/>
      <c r="AH10" s="77"/>
    </row>
    <row r="11" spans="1:37" x14ac:dyDescent="0.25">
      <c r="A11" s="69"/>
      <c r="B11" s="83" t="s">
        <v>47</v>
      </c>
      <c r="C11" s="82">
        <f t="shared" ref="C11:AH11" si="1">SUM(C3:C10)</f>
        <v>0</v>
      </c>
      <c r="D11" s="82">
        <f t="shared" si="1"/>
        <v>0</v>
      </c>
      <c r="E11" s="82">
        <f t="shared" si="1"/>
        <v>0</v>
      </c>
      <c r="F11" s="82">
        <f t="shared" si="1"/>
        <v>0</v>
      </c>
      <c r="G11" s="82">
        <f t="shared" si="1"/>
        <v>0</v>
      </c>
      <c r="H11" s="82">
        <f t="shared" si="1"/>
        <v>0</v>
      </c>
      <c r="I11" s="82">
        <f t="shared" si="1"/>
        <v>0</v>
      </c>
      <c r="J11" s="82">
        <f t="shared" si="1"/>
        <v>0</v>
      </c>
      <c r="K11" s="82">
        <f t="shared" si="1"/>
        <v>0</v>
      </c>
      <c r="L11" s="82">
        <f t="shared" si="1"/>
        <v>0</v>
      </c>
      <c r="M11" s="82">
        <f t="shared" si="1"/>
        <v>0</v>
      </c>
      <c r="N11" s="82">
        <f t="shared" si="1"/>
        <v>0</v>
      </c>
      <c r="O11" s="82">
        <f t="shared" si="1"/>
        <v>0</v>
      </c>
      <c r="P11" s="82">
        <f t="shared" si="1"/>
        <v>0</v>
      </c>
      <c r="Q11" s="82">
        <f t="shared" si="1"/>
        <v>0</v>
      </c>
      <c r="R11" s="82">
        <f t="shared" si="1"/>
        <v>0</v>
      </c>
      <c r="S11" s="82">
        <f t="shared" si="1"/>
        <v>0</v>
      </c>
      <c r="T11" s="82">
        <f t="shared" si="1"/>
        <v>0</v>
      </c>
      <c r="U11" s="82">
        <f t="shared" si="1"/>
        <v>0</v>
      </c>
      <c r="V11" s="82">
        <f t="shared" si="1"/>
        <v>0</v>
      </c>
      <c r="W11" s="82">
        <f t="shared" si="1"/>
        <v>0</v>
      </c>
      <c r="X11" s="82">
        <f t="shared" si="1"/>
        <v>0</v>
      </c>
      <c r="Y11" s="82">
        <f t="shared" si="1"/>
        <v>0</v>
      </c>
      <c r="Z11" s="82">
        <f t="shared" si="1"/>
        <v>0</v>
      </c>
      <c r="AA11" s="82">
        <f t="shared" si="1"/>
        <v>0</v>
      </c>
      <c r="AB11" s="82">
        <f t="shared" si="1"/>
        <v>0</v>
      </c>
      <c r="AC11" s="82">
        <f t="shared" si="1"/>
        <v>0</v>
      </c>
      <c r="AD11" s="82">
        <f t="shared" si="1"/>
        <v>0</v>
      </c>
      <c r="AE11" s="82">
        <f t="shared" si="1"/>
        <v>0</v>
      </c>
      <c r="AF11" s="82">
        <f t="shared" si="1"/>
        <v>0</v>
      </c>
      <c r="AG11" s="82">
        <f t="shared" si="1"/>
        <v>0</v>
      </c>
      <c r="AH11" s="82">
        <f t="shared" si="1"/>
        <v>0</v>
      </c>
    </row>
    <row r="12" spans="1:37" x14ac:dyDescent="0.25">
      <c r="A12" s="65"/>
      <c r="B12" s="84" t="s">
        <v>42</v>
      </c>
      <c r="C12" s="6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48"/>
      <c r="V12" s="49"/>
      <c r="W12" s="49"/>
      <c r="X12" s="35"/>
      <c r="Y12" s="49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7" ht="12.75" customHeight="1" x14ac:dyDescent="0.25">
      <c r="A13" s="65">
        <v>1</v>
      </c>
      <c r="B13" s="132" t="s">
        <v>43</v>
      </c>
      <c r="C13" s="62">
        <f t="shared" ref="C13:C21" si="2">SUM(D13:AH13)</f>
        <v>0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7" ht="12.75" customHeight="1" x14ac:dyDescent="0.25">
      <c r="A14" s="65">
        <v>2</v>
      </c>
      <c r="B14" s="132" t="s">
        <v>44</v>
      </c>
      <c r="C14" s="62">
        <f t="shared" si="2"/>
        <v>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7" ht="12.75" customHeight="1" x14ac:dyDescent="0.25">
      <c r="A15" s="65">
        <v>3</v>
      </c>
      <c r="B15" s="132" t="s">
        <v>45</v>
      </c>
      <c r="C15" s="62">
        <f t="shared" si="2"/>
        <v>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7" ht="12.75" customHeight="1" x14ac:dyDescent="0.25">
      <c r="A16" s="65">
        <v>4</v>
      </c>
      <c r="B16" s="132" t="s">
        <v>86</v>
      </c>
      <c r="C16" s="62">
        <f t="shared" si="2"/>
        <v>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1:34" ht="12.75" customHeight="1" x14ac:dyDescent="0.25">
      <c r="A17" s="65">
        <v>5</v>
      </c>
      <c r="B17" s="132" t="s">
        <v>80</v>
      </c>
      <c r="C17" s="62">
        <f t="shared" si="2"/>
        <v>0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2.75" customHeight="1" x14ac:dyDescent="0.25">
      <c r="A18" s="65">
        <v>6</v>
      </c>
      <c r="B18" s="132" t="s">
        <v>81</v>
      </c>
      <c r="C18" s="62">
        <f t="shared" si="2"/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4" ht="12.75" customHeight="1" x14ac:dyDescent="0.25">
      <c r="A19" s="65">
        <v>7</v>
      </c>
      <c r="B19" s="132" t="s">
        <v>78</v>
      </c>
      <c r="C19" s="62">
        <f t="shared" si="2"/>
        <v>0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ht="12.75" customHeight="1" x14ac:dyDescent="0.25">
      <c r="A20" s="65">
        <v>8</v>
      </c>
      <c r="B20" s="132" t="s">
        <v>79</v>
      </c>
      <c r="C20" s="62">
        <f t="shared" si="2"/>
        <v>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ht="12.75" customHeight="1" x14ac:dyDescent="0.25">
      <c r="A21" s="65">
        <v>9</v>
      </c>
      <c r="B21" s="132" t="s">
        <v>56</v>
      </c>
      <c r="C21" s="62">
        <f t="shared" si="2"/>
        <v>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ht="15.75" x14ac:dyDescent="0.25">
      <c r="A22" s="65"/>
      <c r="B22" s="79" t="s">
        <v>48</v>
      </c>
      <c r="C22" s="86">
        <f>SUM(C13:C21)</f>
        <v>0</v>
      </c>
      <c r="D22" s="86">
        <f t="shared" ref="D22:AH22" si="3">SUM(D13:D21)</f>
        <v>0</v>
      </c>
      <c r="E22" s="86">
        <f t="shared" si="3"/>
        <v>0</v>
      </c>
      <c r="F22" s="86">
        <f t="shared" si="3"/>
        <v>0</v>
      </c>
      <c r="G22" s="86">
        <f t="shared" si="3"/>
        <v>0</v>
      </c>
      <c r="H22" s="86">
        <f t="shared" si="3"/>
        <v>0</v>
      </c>
      <c r="I22" s="86">
        <f t="shared" si="3"/>
        <v>0</v>
      </c>
      <c r="J22" s="86">
        <f t="shared" si="3"/>
        <v>0</v>
      </c>
      <c r="K22" s="86">
        <f t="shared" si="3"/>
        <v>0</v>
      </c>
      <c r="L22" s="86">
        <f t="shared" si="3"/>
        <v>0</v>
      </c>
      <c r="M22" s="86">
        <f t="shared" si="3"/>
        <v>0</v>
      </c>
      <c r="N22" s="86">
        <f t="shared" si="3"/>
        <v>0</v>
      </c>
      <c r="O22" s="86">
        <f t="shared" si="3"/>
        <v>0</v>
      </c>
      <c r="P22" s="86">
        <f t="shared" si="3"/>
        <v>0</v>
      </c>
      <c r="Q22" s="86">
        <f t="shared" si="3"/>
        <v>0</v>
      </c>
      <c r="R22" s="86">
        <f t="shared" si="3"/>
        <v>0</v>
      </c>
      <c r="S22" s="86">
        <f t="shared" si="3"/>
        <v>0</v>
      </c>
      <c r="T22" s="86">
        <f t="shared" si="3"/>
        <v>0</v>
      </c>
      <c r="U22" s="86">
        <f t="shared" si="3"/>
        <v>0</v>
      </c>
      <c r="V22" s="86">
        <f t="shared" si="3"/>
        <v>0</v>
      </c>
      <c r="W22" s="86">
        <f t="shared" si="3"/>
        <v>0</v>
      </c>
      <c r="X22" s="86">
        <f t="shared" si="3"/>
        <v>0</v>
      </c>
      <c r="Y22" s="86">
        <f t="shared" si="3"/>
        <v>0</v>
      </c>
      <c r="Z22" s="86">
        <f t="shared" si="3"/>
        <v>0</v>
      </c>
      <c r="AA22" s="86">
        <f t="shared" si="3"/>
        <v>0</v>
      </c>
      <c r="AB22" s="86">
        <f t="shared" si="3"/>
        <v>0</v>
      </c>
      <c r="AC22" s="86">
        <f t="shared" si="3"/>
        <v>0</v>
      </c>
      <c r="AD22" s="86">
        <f t="shared" si="3"/>
        <v>0</v>
      </c>
      <c r="AE22" s="86">
        <f t="shared" si="3"/>
        <v>0</v>
      </c>
      <c r="AF22" s="86">
        <f t="shared" si="3"/>
        <v>0</v>
      </c>
      <c r="AG22" s="86">
        <f t="shared" si="3"/>
        <v>0</v>
      </c>
      <c r="AH22" s="86">
        <f t="shared" si="3"/>
        <v>0</v>
      </c>
    </row>
    <row r="23" spans="1:34" x14ac:dyDescent="0.25">
      <c r="A23" s="59"/>
      <c r="B23" s="41" t="s">
        <v>49</v>
      </c>
      <c r="C23" s="42">
        <f>+C11+C22</f>
        <v>0</v>
      </c>
      <c r="D23" s="42">
        <f t="shared" ref="D23:AH23" si="4">+D11+D22</f>
        <v>0</v>
      </c>
      <c r="E23" s="42">
        <f t="shared" si="4"/>
        <v>0</v>
      </c>
      <c r="F23" s="42">
        <f t="shared" si="4"/>
        <v>0</v>
      </c>
      <c r="G23" s="42">
        <f t="shared" si="4"/>
        <v>0</v>
      </c>
      <c r="H23" s="42">
        <f t="shared" si="4"/>
        <v>0</v>
      </c>
      <c r="I23" s="42">
        <f t="shared" si="4"/>
        <v>0</v>
      </c>
      <c r="J23" s="42">
        <f t="shared" si="4"/>
        <v>0</v>
      </c>
      <c r="K23" s="42">
        <f t="shared" si="4"/>
        <v>0</v>
      </c>
      <c r="L23" s="42">
        <f t="shared" si="4"/>
        <v>0</v>
      </c>
      <c r="M23" s="42">
        <f t="shared" si="4"/>
        <v>0</v>
      </c>
      <c r="N23" s="42">
        <f t="shared" si="4"/>
        <v>0</v>
      </c>
      <c r="O23" s="42">
        <f t="shared" si="4"/>
        <v>0</v>
      </c>
      <c r="P23" s="42">
        <f t="shared" si="4"/>
        <v>0</v>
      </c>
      <c r="Q23" s="42">
        <f t="shared" si="4"/>
        <v>0</v>
      </c>
      <c r="R23" s="42">
        <f t="shared" si="4"/>
        <v>0</v>
      </c>
      <c r="S23" s="42">
        <f t="shared" si="4"/>
        <v>0</v>
      </c>
      <c r="T23" s="42">
        <f t="shared" si="4"/>
        <v>0</v>
      </c>
      <c r="U23" s="42">
        <f t="shared" si="4"/>
        <v>0</v>
      </c>
      <c r="V23" s="42">
        <f t="shared" si="4"/>
        <v>0</v>
      </c>
      <c r="W23" s="42">
        <f t="shared" si="4"/>
        <v>0</v>
      </c>
      <c r="X23" s="42">
        <f t="shared" si="4"/>
        <v>0</v>
      </c>
      <c r="Y23" s="42">
        <f t="shared" si="4"/>
        <v>0</v>
      </c>
      <c r="Z23" s="42">
        <f t="shared" si="4"/>
        <v>0</v>
      </c>
      <c r="AA23" s="42">
        <f t="shared" si="4"/>
        <v>0</v>
      </c>
      <c r="AB23" s="42">
        <f t="shared" si="4"/>
        <v>0</v>
      </c>
      <c r="AC23" s="42">
        <f t="shared" si="4"/>
        <v>0</v>
      </c>
      <c r="AD23" s="42">
        <f t="shared" si="4"/>
        <v>0</v>
      </c>
      <c r="AE23" s="42">
        <f t="shared" si="4"/>
        <v>0</v>
      </c>
      <c r="AF23" s="42">
        <f t="shared" si="4"/>
        <v>0</v>
      </c>
      <c r="AG23" s="42">
        <f t="shared" si="4"/>
        <v>0</v>
      </c>
      <c r="AH23" s="42">
        <f t="shared" si="4"/>
        <v>0</v>
      </c>
    </row>
    <row r="25" spans="1:34" x14ac:dyDescent="0.25">
      <c r="I25" s="32"/>
      <c r="J25" s="32"/>
      <c r="K25" s="32"/>
      <c r="L25" s="32"/>
      <c r="P25" s="60"/>
    </row>
    <row r="26" spans="1:34" x14ac:dyDescent="0.25">
      <c r="I26" s="32"/>
      <c r="J26" s="32"/>
      <c r="K26" s="32"/>
      <c r="L26" s="32"/>
    </row>
    <row r="29" spans="1:34" x14ac:dyDescent="0.25">
      <c r="J29" s="60"/>
    </row>
    <row r="31" spans="1:34" x14ac:dyDescent="0.25">
      <c r="H31" s="60"/>
    </row>
  </sheetData>
  <mergeCells count="1">
    <mergeCell ref="A1:R1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1:K28"/>
  <sheetViews>
    <sheetView workbookViewId="0">
      <selection activeCell="C21" sqref="C21"/>
    </sheetView>
  </sheetViews>
  <sheetFormatPr defaultRowHeight="12.75" x14ac:dyDescent="0.2"/>
  <cols>
    <col min="2" max="2" width="19.85546875" bestFit="1" customWidth="1"/>
    <col min="3" max="3" width="20" bestFit="1" customWidth="1"/>
    <col min="4" max="4" width="6.140625" bestFit="1" customWidth="1"/>
    <col min="5" max="5" width="27.5703125" bestFit="1" customWidth="1"/>
    <col min="6" max="10" width="9" bestFit="1" customWidth="1"/>
    <col min="11" max="11" width="16" bestFit="1" customWidth="1"/>
  </cols>
  <sheetData>
    <row r="1" spans="2:11" ht="15.75" thickBot="1" x14ac:dyDescent="0.3">
      <c r="D1" s="87"/>
    </row>
    <row r="2" spans="2:11" ht="15.75" thickBot="1" x14ac:dyDescent="0.3">
      <c r="D2" s="202" t="s">
        <v>31</v>
      </c>
      <c r="E2" s="88" t="s">
        <v>25</v>
      </c>
      <c r="F2" s="88"/>
      <c r="G2" s="87"/>
      <c r="H2" s="87"/>
      <c r="I2" s="87"/>
      <c r="J2" s="87"/>
      <c r="K2" s="87"/>
    </row>
    <row r="3" spans="2:11" ht="13.5" thickBot="1" x14ac:dyDescent="0.25">
      <c r="B3" t="s">
        <v>57</v>
      </c>
      <c r="C3" t="s">
        <v>58</v>
      </c>
      <c r="D3" s="203"/>
      <c r="E3" s="89"/>
      <c r="F3" s="89" t="s">
        <v>67</v>
      </c>
      <c r="G3" s="88" t="s">
        <v>68</v>
      </c>
      <c r="H3" s="88" t="s">
        <v>69</v>
      </c>
      <c r="I3" s="90" t="s">
        <v>70</v>
      </c>
      <c r="J3" s="91" t="s">
        <v>71</v>
      </c>
      <c r="K3" s="88" t="s">
        <v>72</v>
      </c>
    </row>
    <row r="4" spans="2:11" ht="15.75" thickBot="1" x14ac:dyDescent="0.3">
      <c r="B4" t="s">
        <v>65</v>
      </c>
      <c r="C4" t="s">
        <v>66</v>
      </c>
      <c r="D4" s="92">
        <v>1</v>
      </c>
      <c r="E4" s="93" t="s">
        <v>33</v>
      </c>
      <c r="F4" s="94">
        <v>300000</v>
      </c>
      <c r="G4" s="95">
        <v>150000</v>
      </c>
      <c r="H4" s="95">
        <v>100000</v>
      </c>
      <c r="I4" s="96"/>
      <c r="J4" s="97">
        <v>50000</v>
      </c>
      <c r="K4" s="98"/>
    </row>
    <row r="5" spans="2:11" ht="15.75" thickBot="1" x14ac:dyDescent="0.3">
      <c r="B5" t="s">
        <v>59</v>
      </c>
      <c r="C5" t="s">
        <v>60</v>
      </c>
      <c r="D5" s="92">
        <v>2</v>
      </c>
      <c r="E5" s="93" t="s">
        <v>34</v>
      </c>
      <c r="F5" s="94">
        <v>500000</v>
      </c>
      <c r="G5" s="95">
        <v>150000</v>
      </c>
      <c r="H5" s="95">
        <v>125000</v>
      </c>
      <c r="I5" s="99">
        <v>125000</v>
      </c>
      <c r="J5" s="97">
        <v>100000</v>
      </c>
      <c r="K5" s="98"/>
    </row>
    <row r="6" spans="2:11" ht="15.75" thickBot="1" x14ac:dyDescent="0.3">
      <c r="D6" s="92">
        <v>3</v>
      </c>
      <c r="E6" s="93" t="s">
        <v>35</v>
      </c>
      <c r="F6" s="94">
        <v>600000</v>
      </c>
      <c r="G6" s="95">
        <v>200000</v>
      </c>
      <c r="H6" s="95">
        <v>200000</v>
      </c>
      <c r="I6" s="99">
        <v>200000</v>
      </c>
      <c r="J6" s="101"/>
      <c r="K6" s="98"/>
    </row>
    <row r="7" spans="2:11" ht="15.75" thickBot="1" x14ac:dyDescent="0.3">
      <c r="D7" s="92">
        <v>4</v>
      </c>
      <c r="E7" s="93" t="s">
        <v>36</v>
      </c>
      <c r="F7" s="94">
        <v>150000</v>
      </c>
      <c r="G7" s="98"/>
      <c r="H7" s="98"/>
      <c r="I7" s="99">
        <v>50000</v>
      </c>
      <c r="J7" s="97">
        <v>100000</v>
      </c>
      <c r="K7" s="98" t="s">
        <v>73</v>
      </c>
    </row>
    <row r="8" spans="2:11" ht="15.75" thickBot="1" x14ac:dyDescent="0.3">
      <c r="D8" s="92">
        <v>5</v>
      </c>
      <c r="E8" s="93" t="s">
        <v>52</v>
      </c>
      <c r="F8" s="94">
        <v>100000</v>
      </c>
      <c r="G8" s="98"/>
      <c r="H8" s="98"/>
      <c r="I8" s="99">
        <v>50000</v>
      </c>
      <c r="J8" s="97">
        <v>50000</v>
      </c>
      <c r="K8" s="98" t="s">
        <v>73</v>
      </c>
    </row>
    <row r="9" spans="2:11" ht="15.75" thickBot="1" x14ac:dyDescent="0.3">
      <c r="D9" s="92">
        <v>6</v>
      </c>
      <c r="E9" s="93" t="s">
        <v>74</v>
      </c>
      <c r="F9" s="94">
        <v>0</v>
      </c>
      <c r="G9" s="98"/>
      <c r="H9" s="98"/>
      <c r="I9" s="96"/>
      <c r="J9" s="101"/>
      <c r="K9" s="98"/>
    </row>
    <row r="10" spans="2:11" ht="15.75" thickBot="1" x14ac:dyDescent="0.3">
      <c r="D10" s="92">
        <v>7</v>
      </c>
      <c r="E10" s="93" t="s">
        <v>75</v>
      </c>
      <c r="F10" s="94">
        <v>50000</v>
      </c>
      <c r="G10" s="98"/>
      <c r="H10" s="98"/>
      <c r="I10" s="96"/>
      <c r="J10" s="97">
        <v>50000</v>
      </c>
      <c r="K10" s="98"/>
    </row>
    <row r="11" spans="2:11" ht="15.75" thickBot="1" x14ac:dyDescent="0.3">
      <c r="B11" t="s">
        <v>61</v>
      </c>
      <c r="C11" t="s">
        <v>62</v>
      </c>
      <c r="D11" s="102"/>
      <c r="E11" s="103" t="s">
        <v>47</v>
      </c>
      <c r="F11" s="104">
        <v>1700000</v>
      </c>
      <c r="G11" s="104">
        <v>500000</v>
      </c>
      <c r="H11" s="104">
        <v>425000</v>
      </c>
      <c r="I11" s="105">
        <v>425000</v>
      </c>
      <c r="J11" s="106">
        <v>350000</v>
      </c>
      <c r="K11" s="98"/>
    </row>
    <row r="12" spans="2:11" ht="15.75" thickBot="1" x14ac:dyDescent="0.3">
      <c r="D12" s="92"/>
      <c r="E12" s="107" t="s">
        <v>50</v>
      </c>
      <c r="F12" s="108"/>
      <c r="G12" s="89" t="s">
        <v>68</v>
      </c>
      <c r="H12" s="89" t="s">
        <v>69</v>
      </c>
      <c r="I12" s="109" t="s">
        <v>70</v>
      </c>
      <c r="J12" s="110" t="s">
        <v>71</v>
      </c>
      <c r="K12" s="98"/>
    </row>
    <row r="13" spans="2:11" ht="15.75" thickBot="1" x14ac:dyDescent="0.3">
      <c r="D13" s="111">
        <v>1</v>
      </c>
      <c r="E13" s="112" t="s">
        <v>37</v>
      </c>
      <c r="F13" s="94">
        <v>150000</v>
      </c>
      <c r="G13" s="98"/>
      <c r="H13" s="98"/>
      <c r="I13" s="96"/>
      <c r="J13" s="101"/>
      <c r="K13" s="98" t="s">
        <v>73</v>
      </c>
    </row>
    <row r="14" spans="2:11" ht="15.75" thickBot="1" x14ac:dyDescent="0.3">
      <c r="D14" s="111">
        <v>2</v>
      </c>
      <c r="E14" s="113" t="s">
        <v>38</v>
      </c>
      <c r="F14" s="94">
        <v>150000</v>
      </c>
      <c r="G14" s="98"/>
      <c r="H14" s="98"/>
      <c r="I14" s="96"/>
      <c r="J14" s="101"/>
      <c r="K14" s="98" t="s">
        <v>73</v>
      </c>
    </row>
    <row r="15" spans="2:11" ht="15.75" thickBot="1" x14ac:dyDescent="0.3">
      <c r="D15" s="111">
        <v>3</v>
      </c>
      <c r="E15" s="113" t="s">
        <v>39</v>
      </c>
      <c r="F15" s="94">
        <v>400000</v>
      </c>
      <c r="G15" s="95">
        <v>100000</v>
      </c>
      <c r="H15" s="95">
        <v>100000</v>
      </c>
      <c r="I15" s="99">
        <v>100000</v>
      </c>
      <c r="J15" s="97">
        <v>100000</v>
      </c>
      <c r="K15" s="98"/>
    </row>
    <row r="16" spans="2:11" ht="15.75" thickBot="1" x14ac:dyDescent="0.3">
      <c r="D16" s="111">
        <v>4</v>
      </c>
      <c r="E16" s="113" t="s">
        <v>40</v>
      </c>
      <c r="F16" s="94">
        <v>300000</v>
      </c>
      <c r="G16" s="95">
        <v>100000</v>
      </c>
      <c r="H16" s="95">
        <v>100000</v>
      </c>
      <c r="I16" s="99">
        <v>100000</v>
      </c>
      <c r="J16" s="101"/>
      <c r="K16" s="98"/>
    </row>
    <row r="17" spans="2:11" ht="15.75" thickBot="1" x14ac:dyDescent="0.3">
      <c r="B17" t="s">
        <v>63</v>
      </c>
      <c r="C17" t="s">
        <v>64</v>
      </c>
      <c r="D17" s="111">
        <v>5</v>
      </c>
      <c r="E17" s="113" t="s">
        <v>41</v>
      </c>
      <c r="F17" s="94">
        <v>80000</v>
      </c>
      <c r="G17" s="98"/>
      <c r="H17" s="98"/>
      <c r="I17" s="99">
        <v>40000</v>
      </c>
      <c r="J17" s="97">
        <v>40000</v>
      </c>
      <c r="K17" s="98"/>
    </row>
    <row r="18" spans="2:11" ht="15.75" thickBot="1" x14ac:dyDescent="0.3">
      <c r="D18" s="114"/>
      <c r="E18" s="115" t="s">
        <v>46</v>
      </c>
      <c r="F18" s="116">
        <v>1080000</v>
      </c>
      <c r="G18" s="116">
        <v>200000</v>
      </c>
      <c r="H18" s="116">
        <v>200000</v>
      </c>
      <c r="I18" s="117">
        <v>240000</v>
      </c>
      <c r="J18" s="118">
        <v>140000</v>
      </c>
      <c r="K18" s="98"/>
    </row>
    <row r="19" spans="2:11" ht="15.75" thickBot="1" x14ac:dyDescent="0.3">
      <c r="D19" s="111"/>
      <c r="E19" s="119" t="s">
        <v>42</v>
      </c>
      <c r="F19" s="120"/>
      <c r="G19" s="89" t="s">
        <v>68</v>
      </c>
      <c r="H19" s="89" t="s">
        <v>69</v>
      </c>
      <c r="I19" s="109" t="s">
        <v>70</v>
      </c>
      <c r="J19" s="110" t="s">
        <v>71</v>
      </c>
      <c r="K19" s="98"/>
    </row>
    <row r="20" spans="2:11" ht="15.75" thickBot="1" x14ac:dyDescent="0.3">
      <c r="D20" s="111">
        <v>1</v>
      </c>
      <c r="E20" s="113" t="s">
        <v>43</v>
      </c>
      <c r="F20" s="94">
        <v>600000</v>
      </c>
      <c r="G20" s="95">
        <v>100000</v>
      </c>
      <c r="H20" s="95">
        <v>200000</v>
      </c>
      <c r="I20" s="99">
        <v>100000</v>
      </c>
      <c r="J20" s="97">
        <v>200000</v>
      </c>
      <c r="K20" s="98"/>
    </row>
    <row r="21" spans="2:11" ht="15.75" thickBot="1" x14ac:dyDescent="0.3">
      <c r="D21" s="111">
        <v>2</v>
      </c>
      <c r="E21" s="113" t="s">
        <v>44</v>
      </c>
      <c r="F21" s="94">
        <v>500000</v>
      </c>
      <c r="G21" s="95">
        <v>200000</v>
      </c>
      <c r="H21" s="95">
        <v>200000</v>
      </c>
      <c r="I21" s="99">
        <v>100000</v>
      </c>
      <c r="J21" s="101"/>
      <c r="K21" s="98"/>
    </row>
    <row r="22" spans="2:11" ht="15.75" thickBot="1" x14ac:dyDescent="0.3">
      <c r="D22" s="111">
        <v>3</v>
      </c>
      <c r="E22" s="113" t="s">
        <v>45</v>
      </c>
      <c r="F22" s="94">
        <v>400000</v>
      </c>
      <c r="G22" s="95">
        <v>200000</v>
      </c>
      <c r="H22" s="95">
        <v>100000</v>
      </c>
      <c r="I22" s="99">
        <v>100000</v>
      </c>
      <c r="J22" s="101"/>
      <c r="K22" s="98"/>
    </row>
    <row r="23" spans="2:11" ht="15.75" thickBot="1" x14ac:dyDescent="0.3">
      <c r="D23" s="111">
        <v>4</v>
      </c>
      <c r="E23" s="113" t="s">
        <v>76</v>
      </c>
      <c r="F23" s="94">
        <v>100000</v>
      </c>
      <c r="G23" s="98"/>
      <c r="H23" s="98"/>
      <c r="I23" s="99">
        <v>50000</v>
      </c>
      <c r="J23" s="97">
        <v>50000</v>
      </c>
      <c r="K23" s="98"/>
    </row>
    <row r="24" spans="2:11" ht="15.75" thickBot="1" x14ac:dyDescent="0.3">
      <c r="D24" s="111">
        <v>5</v>
      </c>
      <c r="E24" s="113" t="s">
        <v>77</v>
      </c>
      <c r="F24" s="94">
        <v>100000</v>
      </c>
      <c r="G24" s="98"/>
      <c r="H24" s="98"/>
      <c r="I24" s="99">
        <v>50000</v>
      </c>
      <c r="J24" s="97">
        <v>50000</v>
      </c>
      <c r="K24" s="98"/>
    </row>
    <row r="25" spans="2:11" ht="15.75" thickBot="1" x14ac:dyDescent="0.3">
      <c r="D25" s="111">
        <v>6</v>
      </c>
      <c r="E25" s="113" t="s">
        <v>75</v>
      </c>
      <c r="F25" s="94">
        <v>50000</v>
      </c>
      <c r="G25" s="98"/>
      <c r="H25" s="98"/>
      <c r="I25" s="99">
        <v>50000</v>
      </c>
      <c r="J25" s="101"/>
      <c r="K25" s="98"/>
    </row>
    <row r="26" spans="2:11" ht="16.5" thickBot="1" x14ac:dyDescent="0.3">
      <c r="D26" s="121"/>
      <c r="E26" s="122" t="s">
        <v>54</v>
      </c>
      <c r="F26" s="123">
        <v>1750000</v>
      </c>
      <c r="G26" s="123">
        <v>500000</v>
      </c>
      <c r="H26" s="123">
        <v>500000</v>
      </c>
      <c r="I26" s="124">
        <v>450000</v>
      </c>
      <c r="J26" s="125">
        <v>300000</v>
      </c>
      <c r="K26" s="98"/>
    </row>
    <row r="27" spans="2:11" ht="15.75" thickBot="1" x14ac:dyDescent="0.3">
      <c r="D27" s="111">
        <v>1</v>
      </c>
      <c r="E27" s="100" t="s">
        <v>53</v>
      </c>
      <c r="F27" s="94">
        <v>1000000</v>
      </c>
      <c r="G27" s="126">
        <v>150000</v>
      </c>
      <c r="H27" s="126">
        <v>300000</v>
      </c>
      <c r="I27" s="126">
        <v>300000</v>
      </c>
      <c r="J27" s="97">
        <v>250000</v>
      </c>
      <c r="K27" s="98"/>
    </row>
    <row r="28" spans="2:11" ht="16.5" thickBot="1" x14ac:dyDescent="0.3">
      <c r="D28" s="127"/>
      <c r="E28" s="128" t="s">
        <v>49</v>
      </c>
      <c r="F28" s="128">
        <v>5530000</v>
      </c>
      <c r="G28" s="129">
        <v>1350000</v>
      </c>
      <c r="H28" s="129">
        <v>1425000</v>
      </c>
      <c r="I28" s="130">
        <v>1415000</v>
      </c>
      <c r="J28" s="131">
        <v>1040000</v>
      </c>
      <c r="K28" s="98"/>
    </row>
  </sheetData>
  <mergeCells count="1">
    <mergeCell ref="D2:D3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I588"/>
  <sheetViews>
    <sheetView zoomScaleNormal="100" workbookViewId="0">
      <pane xSplit="4" ySplit="3" topLeftCell="E316" activePane="bottomRight" state="frozen"/>
      <selection activeCell="C126" sqref="C126"/>
      <selection pane="topRight" activeCell="C126" sqref="C126"/>
      <selection pane="bottomLeft" activeCell="C126" sqref="C126"/>
      <selection pane="bottomRight" activeCell="B332" sqref="B332"/>
    </sheetView>
  </sheetViews>
  <sheetFormatPr defaultRowHeight="15" x14ac:dyDescent="0.25"/>
  <cols>
    <col min="1" max="1" width="7" style="32" customWidth="1"/>
    <col min="2" max="2" width="50.28515625" style="32" customWidth="1"/>
    <col min="3" max="3" width="24.7109375" style="32" bestFit="1" customWidth="1"/>
    <col min="4" max="4" width="13.28515625" style="32" bestFit="1" customWidth="1"/>
    <col min="5" max="5" width="9.5703125" style="31" hidden="1" customWidth="1"/>
    <col min="6" max="6" width="6.5703125" style="31" hidden="1" customWidth="1"/>
    <col min="7" max="17" width="9.5703125" style="31" hidden="1" customWidth="1"/>
    <col min="18" max="20" width="7.5703125" style="31" hidden="1" customWidth="1"/>
    <col min="21" max="31" width="9.5703125" style="31" hidden="1" customWidth="1"/>
    <col min="32" max="34" width="9.5703125" style="31" bestFit="1" customWidth="1"/>
    <col min="35" max="35" width="7.5703125" style="31" bestFit="1" customWidth="1"/>
    <col min="36" max="36" width="9.140625" style="32"/>
    <col min="37" max="37" width="2.85546875" style="32" bestFit="1" customWidth="1"/>
    <col min="38" max="16384" width="9.140625" style="32"/>
  </cols>
  <sheetData>
    <row r="1" spans="1:35" ht="15.75" x14ac:dyDescent="0.25">
      <c r="A1" s="192" t="s">
        <v>208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4"/>
    </row>
    <row r="2" spans="1:35" s="47" customFormat="1" x14ac:dyDescent="0.25">
      <c r="A2" s="45" t="s">
        <v>31</v>
      </c>
      <c r="B2" s="45" t="s">
        <v>0</v>
      </c>
      <c r="C2" s="45" t="s">
        <v>90</v>
      </c>
      <c r="D2" s="45" t="s">
        <v>26</v>
      </c>
      <c r="E2" s="46">
        <v>1</v>
      </c>
      <c r="F2" s="46">
        <v>2</v>
      </c>
      <c r="G2" s="46">
        <v>3</v>
      </c>
      <c r="H2" s="46">
        <v>4</v>
      </c>
      <c r="I2" s="46">
        <v>5</v>
      </c>
      <c r="J2" s="46">
        <v>6</v>
      </c>
      <c r="K2" s="46">
        <v>7</v>
      </c>
      <c r="L2" s="46">
        <v>8</v>
      </c>
      <c r="M2" s="46">
        <v>9</v>
      </c>
      <c r="N2" s="46">
        <v>10</v>
      </c>
      <c r="O2" s="46">
        <v>11</v>
      </c>
      <c r="P2" s="46">
        <v>12</v>
      </c>
      <c r="Q2" s="46">
        <v>13</v>
      </c>
      <c r="R2" s="46">
        <v>14</v>
      </c>
      <c r="S2" s="46">
        <v>15</v>
      </c>
      <c r="T2" s="46">
        <v>16</v>
      </c>
      <c r="U2" s="46">
        <v>17</v>
      </c>
      <c r="V2" s="46">
        <v>18</v>
      </c>
      <c r="W2" s="46">
        <v>19</v>
      </c>
      <c r="X2" s="46">
        <v>20</v>
      </c>
      <c r="Y2" s="46">
        <v>21</v>
      </c>
      <c r="Z2" s="46">
        <v>22</v>
      </c>
      <c r="AA2" s="46">
        <v>23</v>
      </c>
      <c r="AB2" s="46">
        <v>24</v>
      </c>
      <c r="AC2" s="46">
        <v>25</v>
      </c>
      <c r="AD2" s="46">
        <v>26</v>
      </c>
      <c r="AE2" s="46">
        <v>27</v>
      </c>
      <c r="AF2" s="46">
        <v>28</v>
      </c>
      <c r="AG2" s="46">
        <v>29</v>
      </c>
      <c r="AH2" s="46">
        <v>30</v>
      </c>
      <c r="AI2" s="46">
        <v>31</v>
      </c>
    </row>
    <row r="3" spans="1:35" s="47" customFormat="1" x14ac:dyDescent="0.25">
      <c r="A3" s="141" t="s">
        <v>140</v>
      </c>
      <c r="B3" s="142" t="s">
        <v>120</v>
      </c>
      <c r="C3" s="141" t="s">
        <v>141</v>
      </c>
      <c r="D3" s="148">
        <f t="shared" ref="D3:AI3" si="0">SUM(D4:D21)</f>
        <v>758022</v>
      </c>
      <c r="E3" s="148">
        <f t="shared" si="0"/>
        <v>0</v>
      </c>
      <c r="F3" s="148">
        <f t="shared" si="0"/>
        <v>0</v>
      </c>
      <c r="G3" s="148">
        <f t="shared" si="0"/>
        <v>2016</v>
      </c>
      <c r="H3" s="148">
        <f t="shared" si="0"/>
        <v>0</v>
      </c>
      <c r="I3" s="148">
        <f t="shared" si="0"/>
        <v>1940</v>
      </c>
      <c r="J3" s="148">
        <f t="shared" si="0"/>
        <v>15600</v>
      </c>
      <c r="K3" s="148">
        <f t="shared" si="0"/>
        <v>17460</v>
      </c>
      <c r="L3" s="148">
        <f t="shared" si="0"/>
        <v>31500</v>
      </c>
      <c r="M3" s="148">
        <f t="shared" si="0"/>
        <v>0</v>
      </c>
      <c r="N3" s="148">
        <f t="shared" si="0"/>
        <v>30000</v>
      </c>
      <c r="O3" s="148">
        <f t="shared" si="0"/>
        <v>19200</v>
      </c>
      <c r="P3" s="148">
        <f t="shared" si="0"/>
        <v>35440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 t="shared" si="0"/>
        <v>0</v>
      </c>
      <c r="U3" s="148">
        <f t="shared" si="0"/>
        <v>26000</v>
      </c>
      <c r="V3" s="148">
        <f t="shared" si="0"/>
        <v>9520</v>
      </c>
      <c r="W3" s="148">
        <f t="shared" si="0"/>
        <v>11480</v>
      </c>
      <c r="X3" s="148">
        <f t="shared" si="0"/>
        <v>24364</v>
      </c>
      <c r="Y3" s="148">
        <f t="shared" si="0"/>
        <v>66160</v>
      </c>
      <c r="Z3" s="148">
        <f t="shared" si="0"/>
        <v>40288</v>
      </c>
      <c r="AA3" s="148">
        <f t="shared" si="0"/>
        <v>15202</v>
      </c>
      <c r="AB3" s="148">
        <f t="shared" si="0"/>
        <v>15720</v>
      </c>
      <c r="AC3" s="148">
        <f t="shared" si="0"/>
        <v>60592</v>
      </c>
      <c r="AD3" s="148">
        <f t="shared" si="0"/>
        <v>60260</v>
      </c>
      <c r="AE3" s="148">
        <f t="shared" si="0"/>
        <v>68680</v>
      </c>
      <c r="AF3" s="148">
        <f t="shared" si="0"/>
        <v>78840</v>
      </c>
      <c r="AG3" s="148">
        <f t="shared" si="0"/>
        <v>58780</v>
      </c>
      <c r="AH3" s="148">
        <f t="shared" si="0"/>
        <v>54360</v>
      </c>
      <c r="AI3" s="148">
        <f t="shared" si="0"/>
        <v>14620</v>
      </c>
    </row>
    <row r="4" spans="1:35" x14ac:dyDescent="0.25">
      <c r="A4" s="48">
        <v>1</v>
      </c>
      <c r="B4" s="166" t="s">
        <v>92</v>
      </c>
      <c r="C4" s="166" t="s">
        <v>91</v>
      </c>
      <c r="D4" s="138">
        <f t="shared" ref="D4:D21" si="1">SUM(E4:AI4)</f>
        <v>106500</v>
      </c>
      <c r="E4" s="48"/>
      <c r="F4" s="48"/>
      <c r="G4" s="35"/>
      <c r="H4" s="35"/>
      <c r="I4" s="35">
        <f>67*20</f>
        <v>1340</v>
      </c>
      <c r="J4" s="35">
        <f>12600+150*20</f>
        <v>15600</v>
      </c>
      <c r="K4" s="35">
        <f>653*20</f>
        <v>13060</v>
      </c>
      <c r="L4" s="35">
        <v>20000</v>
      </c>
      <c r="M4" s="48"/>
      <c r="N4" s="48"/>
      <c r="O4" s="48"/>
      <c r="P4" s="48"/>
      <c r="Q4" s="48"/>
      <c r="R4" s="48"/>
      <c r="S4" s="40"/>
      <c r="T4" s="40"/>
      <c r="U4" s="40">
        <v>10000</v>
      </c>
      <c r="V4" s="48"/>
      <c r="W4" s="48"/>
      <c r="X4" s="48"/>
      <c r="Y4" s="48"/>
      <c r="Z4" s="48"/>
      <c r="AA4" s="48"/>
      <c r="AB4" s="48">
        <f>295*20+20</f>
        <v>5920</v>
      </c>
      <c r="AC4" s="48">
        <f>900*20+21080</f>
        <v>39080</v>
      </c>
      <c r="AD4" s="48">
        <v>1500</v>
      </c>
      <c r="AE4" s="48"/>
      <c r="AF4" s="48"/>
      <c r="AG4" s="48"/>
      <c r="AH4" s="48"/>
      <c r="AI4" s="48"/>
    </row>
    <row r="5" spans="1:35" x14ac:dyDescent="0.25">
      <c r="A5" s="48">
        <v>2</v>
      </c>
      <c r="B5" s="166" t="s">
        <v>824</v>
      </c>
      <c r="C5" s="166" t="s">
        <v>823</v>
      </c>
      <c r="D5" s="138">
        <f t="shared" si="1"/>
        <v>10000</v>
      </c>
      <c r="E5" s="48"/>
      <c r="F5" s="48"/>
      <c r="G5" s="35"/>
      <c r="H5" s="35"/>
      <c r="I5" s="35">
        <v>600</v>
      </c>
      <c r="J5" s="35"/>
      <c r="K5" s="35">
        <f>146*30+22-2</f>
        <v>4400</v>
      </c>
      <c r="L5" s="35"/>
      <c r="M5" s="48"/>
      <c r="N5" s="48"/>
      <c r="O5" s="48"/>
      <c r="P5" s="48">
        <v>5000</v>
      </c>
      <c r="Q5" s="48"/>
      <c r="R5" s="40"/>
      <c r="S5" s="40"/>
      <c r="T5" s="40"/>
      <c r="U5" s="40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</row>
    <row r="6" spans="1:35" x14ac:dyDescent="0.25">
      <c r="A6" s="48">
        <v>3</v>
      </c>
      <c r="B6" s="166" t="s">
        <v>224</v>
      </c>
      <c r="C6" s="166" t="s">
        <v>223</v>
      </c>
      <c r="D6" s="138">
        <f t="shared" si="1"/>
        <v>1312</v>
      </c>
      <c r="E6" s="48"/>
      <c r="F6" s="48"/>
      <c r="G6" s="35"/>
      <c r="H6" s="35"/>
      <c r="I6" s="35"/>
      <c r="J6" s="35"/>
      <c r="K6" s="35"/>
      <c r="L6" s="35"/>
      <c r="M6" s="48"/>
      <c r="N6" s="48"/>
      <c r="O6" s="48"/>
      <c r="P6" s="48"/>
      <c r="Q6" s="48"/>
      <c r="R6" s="40"/>
      <c r="S6" s="40"/>
      <c r="T6" s="40"/>
      <c r="U6" s="40"/>
      <c r="V6" s="48"/>
      <c r="W6" s="48"/>
      <c r="X6" s="48"/>
      <c r="Y6" s="48"/>
      <c r="Z6" s="48"/>
      <c r="AA6" s="48"/>
      <c r="AB6" s="48"/>
      <c r="AC6" s="48">
        <f>74*16+8*16</f>
        <v>1312</v>
      </c>
      <c r="AD6" s="48"/>
      <c r="AE6" s="48"/>
      <c r="AF6" s="48"/>
      <c r="AG6" s="48"/>
      <c r="AH6" s="48"/>
      <c r="AI6" s="49"/>
    </row>
    <row r="7" spans="1:35" x14ac:dyDescent="0.25">
      <c r="A7" s="48">
        <v>4</v>
      </c>
      <c r="B7" s="176" t="s">
        <v>1070</v>
      </c>
      <c r="C7" s="176" t="s">
        <v>1069</v>
      </c>
      <c r="D7" s="138">
        <f t="shared" si="1"/>
        <v>500</v>
      </c>
      <c r="E7" s="48"/>
      <c r="F7" s="48"/>
      <c r="G7" s="35"/>
      <c r="H7" s="35"/>
      <c r="I7" s="35"/>
      <c r="J7" s="35"/>
      <c r="K7" s="35"/>
      <c r="L7" s="35"/>
      <c r="M7" s="48"/>
      <c r="N7" s="48"/>
      <c r="O7" s="48"/>
      <c r="P7" s="48"/>
      <c r="Q7" s="48"/>
      <c r="R7" s="40"/>
      <c r="S7" s="40"/>
      <c r="T7" s="40"/>
      <c r="U7" s="40"/>
      <c r="V7" s="48"/>
      <c r="W7" s="48"/>
      <c r="X7" s="48"/>
      <c r="Y7" s="48">
        <v>500</v>
      </c>
      <c r="Z7" s="48"/>
      <c r="AA7" s="48"/>
      <c r="AB7" s="48"/>
      <c r="AC7" s="48"/>
      <c r="AD7" s="48"/>
      <c r="AE7" s="48"/>
      <c r="AF7" s="48"/>
      <c r="AG7" s="48"/>
      <c r="AH7" s="48"/>
      <c r="AI7" s="49"/>
    </row>
    <row r="8" spans="1:35" x14ac:dyDescent="0.25">
      <c r="A8" s="48">
        <v>5</v>
      </c>
      <c r="B8" s="176" t="s">
        <v>1164</v>
      </c>
      <c r="C8" s="176" t="s">
        <v>1163</v>
      </c>
      <c r="D8" s="138">
        <f t="shared" si="1"/>
        <v>40000</v>
      </c>
      <c r="E8" s="48"/>
      <c r="F8" s="48"/>
      <c r="G8" s="35"/>
      <c r="H8" s="35"/>
      <c r="I8" s="35"/>
      <c r="J8" s="35"/>
      <c r="K8" s="35"/>
      <c r="L8" s="35"/>
      <c r="M8" s="48"/>
      <c r="N8" s="48"/>
      <c r="O8" s="48"/>
      <c r="P8" s="48"/>
      <c r="Q8" s="48"/>
      <c r="R8" s="40"/>
      <c r="S8" s="40"/>
      <c r="T8" s="40"/>
      <c r="U8" s="40"/>
      <c r="V8" s="48"/>
      <c r="W8" s="48"/>
      <c r="X8" s="48"/>
      <c r="Y8" s="48"/>
      <c r="Z8" s="48"/>
      <c r="AA8" s="48"/>
      <c r="AB8" s="48"/>
      <c r="AC8" s="48"/>
      <c r="AD8" s="48">
        <f>500*20</f>
        <v>10000</v>
      </c>
      <c r="AE8" s="48"/>
      <c r="AF8" s="48">
        <f>500*20</f>
        <v>10000</v>
      </c>
      <c r="AG8" s="48">
        <f>951*20+820</f>
        <v>19840</v>
      </c>
      <c r="AH8" s="48">
        <v>160</v>
      </c>
      <c r="AI8" s="49"/>
    </row>
    <row r="9" spans="1:35" x14ac:dyDescent="0.25">
      <c r="A9" s="48">
        <v>6</v>
      </c>
      <c r="B9" s="176" t="s">
        <v>1166</v>
      </c>
      <c r="C9" s="176" t="s">
        <v>1165</v>
      </c>
      <c r="D9" s="138">
        <f t="shared" si="1"/>
        <v>120</v>
      </c>
      <c r="E9" s="48"/>
      <c r="F9" s="48"/>
      <c r="G9" s="35"/>
      <c r="H9" s="35"/>
      <c r="I9" s="35"/>
      <c r="J9" s="35"/>
      <c r="K9" s="35"/>
      <c r="L9" s="35"/>
      <c r="M9" s="48"/>
      <c r="N9" s="48"/>
      <c r="O9" s="48"/>
      <c r="P9" s="48"/>
      <c r="Q9" s="48"/>
      <c r="R9" s="40"/>
      <c r="S9" s="40"/>
      <c r="T9" s="40"/>
      <c r="U9" s="40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9">
        <v>120</v>
      </c>
    </row>
    <row r="10" spans="1:35" x14ac:dyDescent="0.25">
      <c r="A10" s="48">
        <v>7</v>
      </c>
      <c r="B10" s="166" t="s">
        <v>276</v>
      </c>
      <c r="C10" s="166" t="s">
        <v>275</v>
      </c>
      <c r="D10" s="138">
        <f t="shared" si="1"/>
        <v>4364</v>
      </c>
      <c r="E10" s="48"/>
      <c r="F10" s="48"/>
      <c r="G10" s="35"/>
      <c r="H10" s="35"/>
      <c r="I10" s="35"/>
      <c r="J10" s="35"/>
      <c r="K10" s="35"/>
      <c r="L10" s="35"/>
      <c r="M10" s="48"/>
      <c r="N10" s="48"/>
      <c r="O10" s="48"/>
      <c r="P10" s="48"/>
      <c r="Q10" s="48"/>
      <c r="R10" s="40"/>
      <c r="S10" s="40"/>
      <c r="T10" s="40"/>
      <c r="U10" s="40"/>
      <c r="V10" s="48"/>
      <c r="W10" s="48"/>
      <c r="X10" s="48">
        <v>4364</v>
      </c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9"/>
    </row>
    <row r="11" spans="1:35" x14ac:dyDescent="0.25">
      <c r="A11" s="48">
        <v>8</v>
      </c>
      <c r="B11" s="166" t="s">
        <v>752</v>
      </c>
      <c r="C11" s="166" t="s">
        <v>751</v>
      </c>
      <c r="D11" s="138">
        <f t="shared" si="1"/>
        <v>19000</v>
      </c>
      <c r="E11" s="48"/>
      <c r="F11" s="48"/>
      <c r="G11" s="35"/>
      <c r="H11" s="35"/>
      <c r="I11" s="35"/>
      <c r="J11" s="35"/>
      <c r="K11" s="35"/>
      <c r="L11" s="35"/>
      <c r="M11" s="48"/>
      <c r="N11" s="48"/>
      <c r="O11" s="48"/>
      <c r="P11" s="48">
        <v>19000</v>
      </c>
      <c r="Q11" s="48"/>
      <c r="R11" s="40"/>
      <c r="S11" s="40"/>
      <c r="T11" s="40"/>
      <c r="U11" s="40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9"/>
    </row>
    <row r="12" spans="1:35" x14ac:dyDescent="0.25">
      <c r="A12" s="48">
        <v>9</v>
      </c>
      <c r="B12" s="166" t="s">
        <v>286</v>
      </c>
      <c r="C12" s="166" t="s">
        <v>285</v>
      </c>
      <c r="D12" s="138">
        <f t="shared" si="1"/>
        <v>26300</v>
      </c>
      <c r="E12" s="48"/>
      <c r="F12" s="48"/>
      <c r="G12" s="35"/>
      <c r="H12" s="35"/>
      <c r="I12" s="35"/>
      <c r="J12" s="35"/>
      <c r="K12" s="35"/>
      <c r="L12" s="35"/>
      <c r="M12" s="48"/>
      <c r="N12" s="48"/>
      <c r="O12" s="48"/>
      <c r="P12" s="48"/>
      <c r="Q12" s="48"/>
      <c r="R12" s="40"/>
      <c r="S12" s="40"/>
      <c r="T12" s="40"/>
      <c r="U12" s="40">
        <v>4000</v>
      </c>
      <c r="V12" s="48">
        <v>1000</v>
      </c>
      <c r="W12" s="48">
        <v>6000</v>
      </c>
      <c r="X12" s="48"/>
      <c r="Y12" s="48">
        <v>5300</v>
      </c>
      <c r="Z12" s="48"/>
      <c r="AA12" s="48"/>
      <c r="AB12" s="48"/>
      <c r="AC12" s="48"/>
      <c r="AD12" s="48"/>
      <c r="AE12" s="48"/>
      <c r="AF12" s="48"/>
      <c r="AG12" s="48"/>
      <c r="AH12" s="48"/>
      <c r="AI12" s="49">
        <v>10000</v>
      </c>
    </row>
    <row r="13" spans="1:35" x14ac:dyDescent="0.25">
      <c r="A13" s="48">
        <v>10</v>
      </c>
      <c r="B13" s="166" t="s">
        <v>318</v>
      </c>
      <c r="C13" s="166" t="s">
        <v>317</v>
      </c>
      <c r="D13" s="138">
        <f t="shared" si="1"/>
        <v>2000</v>
      </c>
      <c r="E13" s="48"/>
      <c r="F13" s="48"/>
      <c r="G13" s="35"/>
      <c r="H13" s="35"/>
      <c r="I13" s="35"/>
      <c r="J13" s="35"/>
      <c r="K13" s="35"/>
      <c r="L13" s="35"/>
      <c r="M13" s="48"/>
      <c r="N13" s="48"/>
      <c r="O13" s="48"/>
      <c r="P13" s="48"/>
      <c r="Q13" s="48"/>
      <c r="R13" s="40"/>
      <c r="S13" s="40"/>
      <c r="T13" s="40"/>
      <c r="U13" s="40">
        <v>2000</v>
      </c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9"/>
    </row>
    <row r="14" spans="1:35" x14ac:dyDescent="0.25">
      <c r="A14" s="48">
        <v>11</v>
      </c>
      <c r="B14" s="166" t="s">
        <v>330</v>
      </c>
      <c r="C14" s="166" t="s">
        <v>329</v>
      </c>
      <c r="D14" s="138">
        <f t="shared" si="1"/>
        <v>8500</v>
      </c>
      <c r="E14" s="48"/>
      <c r="F14" s="48"/>
      <c r="G14" s="35"/>
      <c r="H14" s="35"/>
      <c r="I14" s="35"/>
      <c r="J14" s="35"/>
      <c r="K14" s="35"/>
      <c r="L14" s="35"/>
      <c r="M14" s="48"/>
      <c r="N14" s="48"/>
      <c r="O14" s="48"/>
      <c r="P14" s="48"/>
      <c r="Q14" s="48"/>
      <c r="R14" s="40"/>
      <c r="S14" s="40"/>
      <c r="T14" s="40"/>
      <c r="U14" s="40"/>
      <c r="V14" s="48">
        <f>9*60+330*6</f>
        <v>2520</v>
      </c>
      <c r="W14" s="48">
        <v>2980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9">
        <v>3000</v>
      </c>
    </row>
    <row r="15" spans="1:35" x14ac:dyDescent="0.25">
      <c r="A15" s="48">
        <v>12</v>
      </c>
      <c r="B15" s="176" t="s">
        <v>1128</v>
      </c>
      <c r="C15" s="176" t="s">
        <v>1127</v>
      </c>
      <c r="D15" s="138">
        <f t="shared" si="1"/>
        <v>500</v>
      </c>
      <c r="E15" s="48"/>
      <c r="F15" s="48"/>
      <c r="G15" s="35"/>
      <c r="H15" s="35"/>
      <c r="I15" s="35"/>
      <c r="J15" s="35"/>
      <c r="K15" s="35"/>
      <c r="L15" s="35"/>
      <c r="M15" s="48"/>
      <c r="N15" s="48"/>
      <c r="O15" s="48"/>
      <c r="P15" s="48"/>
      <c r="Q15" s="48"/>
      <c r="R15" s="40"/>
      <c r="S15" s="40"/>
      <c r="T15" s="40"/>
      <c r="U15" s="40"/>
      <c r="V15" s="48"/>
      <c r="W15" s="48"/>
      <c r="X15" s="48"/>
      <c r="Y15" s="48">
        <v>500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9"/>
    </row>
    <row r="16" spans="1:35" x14ac:dyDescent="0.25">
      <c r="A16" s="48">
        <v>13</v>
      </c>
      <c r="B16" s="166" t="s">
        <v>681</v>
      </c>
      <c r="C16" s="166" t="s">
        <v>680</v>
      </c>
      <c r="D16" s="138">
        <f t="shared" si="1"/>
        <v>500</v>
      </c>
      <c r="E16" s="48"/>
      <c r="F16" s="48"/>
      <c r="G16" s="35"/>
      <c r="H16" s="35"/>
      <c r="I16" s="35"/>
      <c r="J16" s="35"/>
      <c r="K16" s="35"/>
      <c r="L16" s="35">
        <v>500</v>
      </c>
      <c r="M16" s="48"/>
      <c r="N16" s="48"/>
      <c r="O16" s="48"/>
      <c r="P16" s="48"/>
      <c r="Q16" s="48"/>
      <c r="R16" s="40"/>
      <c r="S16" s="40"/>
      <c r="T16" s="40"/>
      <c r="U16" s="40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9"/>
    </row>
    <row r="17" spans="1:35" x14ac:dyDescent="0.25">
      <c r="A17" s="48">
        <v>14</v>
      </c>
      <c r="B17" s="176" t="s">
        <v>1068</v>
      </c>
      <c r="C17" s="176" t="s">
        <v>1067</v>
      </c>
      <c r="D17" s="138">
        <f t="shared" si="1"/>
        <v>2620</v>
      </c>
      <c r="E17" s="48"/>
      <c r="F17" s="48"/>
      <c r="G17" s="35"/>
      <c r="H17" s="35"/>
      <c r="I17" s="35"/>
      <c r="J17" s="35"/>
      <c r="K17" s="35"/>
      <c r="L17" s="35"/>
      <c r="M17" s="48"/>
      <c r="N17" s="48"/>
      <c r="O17" s="48"/>
      <c r="P17" s="48"/>
      <c r="Q17" s="48"/>
      <c r="R17" s="40"/>
      <c r="S17" s="40"/>
      <c r="T17" s="40"/>
      <c r="U17" s="40"/>
      <c r="V17" s="48"/>
      <c r="W17" s="48">
        <v>2500</v>
      </c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>
        <f>4*30</f>
        <v>120</v>
      </c>
      <c r="AI17" s="49"/>
    </row>
    <row r="18" spans="1:35" x14ac:dyDescent="0.25">
      <c r="A18" s="48">
        <v>15</v>
      </c>
      <c r="B18" s="166" t="s">
        <v>784</v>
      </c>
      <c r="C18" s="166" t="s">
        <v>783</v>
      </c>
      <c r="D18" s="138">
        <f t="shared" si="1"/>
        <v>13306</v>
      </c>
      <c r="E18" s="48"/>
      <c r="F18" s="48"/>
      <c r="G18" s="35">
        <f>224*9</f>
        <v>2016</v>
      </c>
      <c r="H18" s="35"/>
      <c r="I18" s="35"/>
      <c r="J18" s="35"/>
      <c r="K18" s="35"/>
      <c r="L18" s="35">
        <v>3000</v>
      </c>
      <c r="M18" s="48"/>
      <c r="N18" s="48"/>
      <c r="O18" s="48"/>
      <c r="P18" s="48"/>
      <c r="Q18" s="48"/>
      <c r="R18" s="40"/>
      <c r="S18" s="40"/>
      <c r="T18" s="40"/>
      <c r="U18" s="40"/>
      <c r="V18" s="48">
        <f>667*9-3</f>
        <v>6000</v>
      </c>
      <c r="W18" s="48"/>
      <c r="X18" s="48"/>
      <c r="Y18" s="48"/>
      <c r="Z18" s="48">
        <v>288</v>
      </c>
      <c r="AA18" s="48">
        <v>2</v>
      </c>
      <c r="AB18" s="48"/>
      <c r="AC18" s="48"/>
      <c r="AD18" s="48"/>
      <c r="AE18" s="48"/>
      <c r="AF18" s="48"/>
      <c r="AG18" s="48"/>
      <c r="AH18" s="48">
        <f>223*9-7</f>
        <v>2000</v>
      </c>
      <c r="AI18" s="49"/>
    </row>
    <row r="19" spans="1:35" x14ac:dyDescent="0.25">
      <c r="A19" s="48">
        <v>16</v>
      </c>
      <c r="B19" s="176" t="s">
        <v>425</v>
      </c>
      <c r="C19" s="176" t="s">
        <v>424</v>
      </c>
      <c r="D19" s="138">
        <f t="shared" si="1"/>
        <v>48000</v>
      </c>
      <c r="E19" s="48"/>
      <c r="F19" s="48"/>
      <c r="G19" s="35"/>
      <c r="H19" s="35"/>
      <c r="I19" s="35"/>
      <c r="J19" s="35"/>
      <c r="K19" s="35"/>
      <c r="L19" s="35"/>
      <c r="M19" s="48"/>
      <c r="N19" s="48"/>
      <c r="O19" s="48"/>
      <c r="P19" s="48"/>
      <c r="Q19" s="48"/>
      <c r="R19" s="40"/>
      <c r="S19" s="40"/>
      <c r="T19" s="40"/>
      <c r="U19" s="40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>
        <f>1524*20+851*20</f>
        <v>47500</v>
      </c>
      <c r="AI19" s="49">
        <v>500</v>
      </c>
    </row>
    <row r="20" spans="1:35" x14ac:dyDescent="0.25">
      <c r="A20" s="48">
        <v>17</v>
      </c>
      <c r="B20" s="166" t="s">
        <v>167</v>
      </c>
      <c r="C20" s="166" t="s">
        <v>166</v>
      </c>
      <c r="D20" s="138">
        <f t="shared" si="1"/>
        <v>461000</v>
      </c>
      <c r="E20" s="48"/>
      <c r="F20" s="48"/>
      <c r="G20" s="35"/>
      <c r="H20" s="35"/>
      <c r="I20" s="35"/>
      <c r="J20" s="35"/>
      <c r="K20" s="35"/>
      <c r="L20" s="35"/>
      <c r="M20" s="48"/>
      <c r="N20" s="48">
        <f>1450*20+1000</f>
        <v>30000</v>
      </c>
      <c r="O20" s="48">
        <f>700*20+5200</f>
        <v>19200</v>
      </c>
      <c r="P20" s="48">
        <v>5940</v>
      </c>
      <c r="Q20" s="48"/>
      <c r="R20" s="40"/>
      <c r="S20" s="40"/>
      <c r="T20" s="40"/>
      <c r="U20" s="40">
        <v>10000</v>
      </c>
      <c r="V20" s="48"/>
      <c r="W20" s="48"/>
      <c r="X20" s="48">
        <f>1000*20</f>
        <v>20000</v>
      </c>
      <c r="Y20" s="48">
        <f>1830*20+23260</f>
        <v>59860</v>
      </c>
      <c r="Z20" s="48">
        <f>660*20+1340*20</f>
        <v>40000</v>
      </c>
      <c r="AA20" s="48">
        <v>15200</v>
      </c>
      <c r="AB20" s="48">
        <f>175*20+315*20</f>
        <v>9800</v>
      </c>
      <c r="AC20" s="48">
        <f>20*20+19800</f>
        <v>20200</v>
      </c>
      <c r="AD20" s="48">
        <f>1228*20+610*20+600*20</f>
        <v>48760</v>
      </c>
      <c r="AE20" s="48">
        <f>1364*20+2070*20</f>
        <v>68680</v>
      </c>
      <c r="AF20" s="48">
        <f>1240*20+2202*20</f>
        <v>68840</v>
      </c>
      <c r="AG20" s="48">
        <f>1947*20</f>
        <v>38940</v>
      </c>
      <c r="AH20" s="48">
        <f>50*20+3580</f>
        <v>4580</v>
      </c>
      <c r="AI20" s="49">
        <v>1000</v>
      </c>
    </row>
    <row r="21" spans="1:35" x14ac:dyDescent="0.25">
      <c r="A21" s="48">
        <v>18</v>
      </c>
      <c r="B21" s="166" t="s">
        <v>553</v>
      </c>
      <c r="C21" s="166" t="s">
        <v>552</v>
      </c>
      <c r="D21" s="138">
        <f t="shared" si="1"/>
        <v>13500</v>
      </c>
      <c r="E21" s="48"/>
      <c r="F21" s="48"/>
      <c r="G21" s="35"/>
      <c r="H21" s="35"/>
      <c r="I21" s="35"/>
      <c r="J21" s="35"/>
      <c r="K21" s="35"/>
      <c r="L21" s="35">
        <v>8000</v>
      </c>
      <c r="M21" s="48"/>
      <c r="N21" s="48"/>
      <c r="O21" s="48"/>
      <c r="P21" s="48">
        <f>236*20+39*20</f>
        <v>5500</v>
      </c>
      <c r="Q21" s="48"/>
      <c r="R21" s="40"/>
      <c r="S21" s="40"/>
      <c r="T21" s="40"/>
      <c r="U21" s="40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9"/>
    </row>
    <row r="22" spans="1:35" x14ac:dyDescent="0.25">
      <c r="A22" s="141" t="s">
        <v>140</v>
      </c>
      <c r="B22" s="142" t="s">
        <v>119</v>
      </c>
      <c r="C22" s="141" t="s">
        <v>141</v>
      </c>
      <c r="D22" s="143">
        <f t="shared" ref="D22:AI22" si="2">SUM(D23:D53)</f>
        <v>702874</v>
      </c>
      <c r="E22" s="143">
        <f t="shared" si="2"/>
        <v>0</v>
      </c>
      <c r="F22" s="143">
        <f t="shared" si="2"/>
        <v>0</v>
      </c>
      <c r="G22" s="143">
        <f t="shared" si="2"/>
        <v>120</v>
      </c>
      <c r="H22" s="143">
        <f t="shared" si="2"/>
        <v>0</v>
      </c>
      <c r="I22" s="143">
        <f t="shared" si="2"/>
        <v>4984</v>
      </c>
      <c r="J22" s="143">
        <f t="shared" si="2"/>
        <v>30472</v>
      </c>
      <c r="K22" s="143">
        <f t="shared" si="2"/>
        <v>15000</v>
      </c>
      <c r="L22" s="143">
        <f t="shared" si="2"/>
        <v>19500</v>
      </c>
      <c r="M22" s="143">
        <f t="shared" si="2"/>
        <v>18420</v>
      </c>
      <c r="N22" s="143">
        <f t="shared" si="2"/>
        <v>8900</v>
      </c>
      <c r="O22" s="143">
        <f t="shared" si="2"/>
        <v>36780</v>
      </c>
      <c r="P22" s="143">
        <f t="shared" si="2"/>
        <v>4950</v>
      </c>
      <c r="Q22" s="143">
        <f t="shared" si="2"/>
        <v>11700</v>
      </c>
      <c r="R22" s="143">
        <f t="shared" si="2"/>
        <v>0</v>
      </c>
      <c r="S22" s="143">
        <f t="shared" si="2"/>
        <v>0</v>
      </c>
      <c r="T22" s="143">
        <f t="shared" si="2"/>
        <v>0</v>
      </c>
      <c r="U22" s="143">
        <f t="shared" si="2"/>
        <v>21000</v>
      </c>
      <c r="V22" s="143">
        <f t="shared" si="2"/>
        <v>12300</v>
      </c>
      <c r="W22" s="143">
        <f t="shared" si="2"/>
        <v>5700</v>
      </c>
      <c r="X22" s="143">
        <f t="shared" si="2"/>
        <v>40000</v>
      </c>
      <c r="Y22" s="143">
        <f t="shared" si="2"/>
        <v>47400</v>
      </c>
      <c r="Z22" s="143">
        <f t="shared" si="2"/>
        <v>45400</v>
      </c>
      <c r="AA22" s="143">
        <f t="shared" si="2"/>
        <v>15880</v>
      </c>
      <c r="AB22" s="143">
        <f t="shared" si="2"/>
        <v>9790</v>
      </c>
      <c r="AC22" s="143">
        <f t="shared" si="2"/>
        <v>65000</v>
      </c>
      <c r="AD22" s="143">
        <f t="shared" si="2"/>
        <v>70000</v>
      </c>
      <c r="AE22" s="143">
        <f t="shared" si="2"/>
        <v>40500</v>
      </c>
      <c r="AF22" s="143">
        <f t="shared" si="2"/>
        <v>43000</v>
      </c>
      <c r="AG22" s="143">
        <f t="shared" si="2"/>
        <v>77000</v>
      </c>
      <c r="AH22" s="143">
        <f t="shared" si="2"/>
        <v>55460</v>
      </c>
      <c r="AI22" s="143">
        <f t="shared" si="2"/>
        <v>3618</v>
      </c>
    </row>
    <row r="23" spans="1:35" x14ac:dyDescent="0.25">
      <c r="A23" s="48">
        <v>1</v>
      </c>
      <c r="B23" s="166" t="s">
        <v>291</v>
      </c>
      <c r="C23" s="166" t="s">
        <v>290</v>
      </c>
      <c r="D23" s="138">
        <f t="shared" ref="D23:D53" si="3">SUM(E23:AI23)</f>
        <v>7500</v>
      </c>
      <c r="E23" s="48"/>
      <c r="F23" s="48"/>
      <c r="G23" s="35"/>
      <c r="H23" s="35"/>
      <c r="I23" s="35"/>
      <c r="J23" s="35"/>
      <c r="K23" s="35">
        <v>5000</v>
      </c>
      <c r="L23" s="35"/>
      <c r="M23" s="48"/>
      <c r="N23" s="48"/>
      <c r="O23" s="48"/>
      <c r="P23" s="48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48"/>
      <c r="AF23" s="48"/>
      <c r="AG23" s="48"/>
      <c r="AH23" s="48">
        <v>2500</v>
      </c>
      <c r="AI23" s="49"/>
    </row>
    <row r="24" spans="1:35" x14ac:dyDescent="0.25">
      <c r="A24" s="48">
        <v>2</v>
      </c>
      <c r="B24" s="176" t="s">
        <v>986</v>
      </c>
      <c r="C24" s="176" t="s">
        <v>985</v>
      </c>
      <c r="D24" s="138">
        <f t="shared" si="3"/>
        <v>10000</v>
      </c>
      <c r="E24" s="48"/>
      <c r="F24" s="48"/>
      <c r="G24" s="35"/>
      <c r="H24" s="35"/>
      <c r="I24" s="35">
        <v>4980</v>
      </c>
      <c r="J24" s="35"/>
      <c r="K24" s="35"/>
      <c r="L24" s="35"/>
      <c r="M24" s="48"/>
      <c r="N24" s="48"/>
      <c r="O24" s="48"/>
      <c r="P24" s="48">
        <f>495*10</f>
        <v>4950</v>
      </c>
      <c r="Q24" s="48"/>
      <c r="R24" s="40"/>
      <c r="S24" s="40"/>
      <c r="T24" s="40"/>
      <c r="U24" s="40"/>
      <c r="V24" s="48"/>
      <c r="W24" s="48"/>
      <c r="X24" s="48"/>
      <c r="Y24" s="48"/>
      <c r="Z24" s="48"/>
      <c r="AA24" s="48"/>
      <c r="AB24" s="48">
        <v>70</v>
      </c>
      <c r="AC24" s="48"/>
      <c r="AD24" s="48"/>
      <c r="AE24" s="48"/>
      <c r="AF24" s="48"/>
      <c r="AG24" s="48"/>
      <c r="AH24" s="48"/>
      <c r="AI24" s="49"/>
    </row>
    <row r="25" spans="1:35" x14ac:dyDescent="0.25">
      <c r="A25" s="48">
        <v>3</v>
      </c>
      <c r="B25" s="166" t="s">
        <v>849</v>
      </c>
      <c r="C25" s="166" t="s">
        <v>848</v>
      </c>
      <c r="D25" s="138">
        <f t="shared" si="3"/>
        <v>0</v>
      </c>
      <c r="E25" s="48"/>
      <c r="F25" s="48"/>
      <c r="G25" s="35"/>
      <c r="H25" s="35"/>
      <c r="I25" s="35"/>
      <c r="J25" s="35"/>
      <c r="K25" s="35"/>
      <c r="L25" s="35"/>
      <c r="M25" s="48"/>
      <c r="N25" s="48"/>
      <c r="O25" s="48"/>
      <c r="P25" s="48"/>
      <c r="Q25" s="48"/>
      <c r="R25" s="40"/>
      <c r="S25" s="40"/>
      <c r="T25" s="40"/>
      <c r="U25" s="40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</row>
    <row r="26" spans="1:35" x14ac:dyDescent="0.25">
      <c r="A26" s="48">
        <v>4</v>
      </c>
      <c r="B26" s="176" t="s">
        <v>1122</v>
      </c>
      <c r="C26" s="176" t="s">
        <v>1121</v>
      </c>
      <c r="D26" s="138">
        <f t="shared" si="3"/>
        <v>500</v>
      </c>
      <c r="E26" s="48"/>
      <c r="F26" s="48"/>
      <c r="G26" s="35"/>
      <c r="H26" s="35"/>
      <c r="I26" s="35"/>
      <c r="J26" s="35"/>
      <c r="K26" s="35"/>
      <c r="L26" s="35"/>
      <c r="M26" s="48"/>
      <c r="N26" s="48"/>
      <c r="O26" s="48"/>
      <c r="P26" s="48"/>
      <c r="Q26" s="48"/>
      <c r="R26" s="40"/>
      <c r="S26" s="40"/>
      <c r="T26" s="40"/>
      <c r="U26" s="40"/>
      <c r="V26" s="48"/>
      <c r="W26" s="48"/>
      <c r="X26" s="48"/>
      <c r="Y26" s="48">
        <v>500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9"/>
    </row>
    <row r="27" spans="1:35" x14ac:dyDescent="0.25">
      <c r="A27" s="48">
        <v>5</v>
      </c>
      <c r="B27" s="166" t="s">
        <v>328</v>
      </c>
      <c r="C27" s="166" t="s">
        <v>327</v>
      </c>
      <c r="D27" s="138">
        <f t="shared" si="3"/>
        <v>8000</v>
      </c>
      <c r="E27" s="48"/>
      <c r="F27" s="48"/>
      <c r="G27" s="35"/>
      <c r="H27" s="35"/>
      <c r="I27" s="35"/>
      <c r="J27" s="35"/>
      <c r="K27" s="35"/>
      <c r="L27" s="35"/>
      <c r="M27" s="48"/>
      <c r="N27" s="48"/>
      <c r="O27" s="48"/>
      <c r="P27" s="48"/>
      <c r="Q27" s="48"/>
      <c r="R27" s="40"/>
      <c r="S27" s="40"/>
      <c r="T27" s="40"/>
      <c r="U27" s="40">
        <f>250*20</f>
        <v>5000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9">
        <v>3000</v>
      </c>
    </row>
    <row r="28" spans="1:35" x14ac:dyDescent="0.25">
      <c r="A28" s="48">
        <v>6</v>
      </c>
      <c r="B28" s="176" t="s">
        <v>1073</v>
      </c>
      <c r="C28" s="176" t="s">
        <v>1071</v>
      </c>
      <c r="D28" s="138">
        <f t="shared" si="3"/>
        <v>500</v>
      </c>
      <c r="E28" s="48"/>
      <c r="F28" s="48"/>
      <c r="G28" s="35"/>
      <c r="H28" s="35"/>
      <c r="I28" s="35"/>
      <c r="J28" s="35"/>
      <c r="K28" s="35"/>
      <c r="L28" s="35"/>
      <c r="M28" s="48"/>
      <c r="N28" s="48"/>
      <c r="O28" s="48"/>
      <c r="P28" s="48"/>
      <c r="Q28" s="48"/>
      <c r="R28" s="40"/>
      <c r="S28" s="40"/>
      <c r="T28" s="40"/>
      <c r="U28" s="40"/>
      <c r="V28" s="48"/>
      <c r="W28" s="48"/>
      <c r="X28" s="48"/>
      <c r="Y28" s="48"/>
      <c r="Z28" s="48"/>
      <c r="AA28" s="48">
        <v>500</v>
      </c>
      <c r="AB28" s="48"/>
      <c r="AC28" s="48"/>
      <c r="AD28" s="48"/>
      <c r="AE28" s="48"/>
      <c r="AF28" s="48"/>
      <c r="AG28" s="48"/>
      <c r="AH28" s="48"/>
      <c r="AI28" s="49"/>
    </row>
    <row r="29" spans="1:35" x14ac:dyDescent="0.25">
      <c r="A29" s="48">
        <v>7</v>
      </c>
      <c r="B29" s="176" t="s">
        <v>1074</v>
      </c>
      <c r="C29" s="176" t="s">
        <v>1072</v>
      </c>
      <c r="D29" s="138">
        <f t="shared" si="3"/>
        <v>500</v>
      </c>
      <c r="E29" s="48"/>
      <c r="F29" s="48"/>
      <c r="G29" s="35"/>
      <c r="H29" s="35"/>
      <c r="I29" s="35"/>
      <c r="J29" s="35"/>
      <c r="K29" s="35"/>
      <c r="L29" s="35"/>
      <c r="M29" s="48"/>
      <c r="N29" s="48"/>
      <c r="O29" s="48"/>
      <c r="P29" s="48"/>
      <c r="Q29" s="48"/>
      <c r="R29" s="40"/>
      <c r="S29" s="40"/>
      <c r="T29" s="40"/>
      <c r="U29" s="40"/>
      <c r="V29" s="48"/>
      <c r="W29" s="48"/>
      <c r="X29" s="48"/>
      <c r="Y29" s="48"/>
      <c r="Z29" s="48"/>
      <c r="AA29" s="48">
        <v>500</v>
      </c>
      <c r="AB29" s="48"/>
      <c r="AC29" s="48"/>
      <c r="AD29" s="48"/>
      <c r="AE29" s="48"/>
      <c r="AF29" s="48"/>
      <c r="AG29" s="48"/>
      <c r="AH29" s="48"/>
      <c r="AI29" s="49"/>
    </row>
    <row r="30" spans="1:35" x14ac:dyDescent="0.25">
      <c r="A30" s="48">
        <v>8</v>
      </c>
      <c r="B30" s="176" t="s">
        <v>1194</v>
      </c>
      <c r="C30" s="176" t="s">
        <v>1193</v>
      </c>
      <c r="D30" s="138">
        <f t="shared" si="3"/>
        <v>500</v>
      </c>
      <c r="E30" s="48"/>
      <c r="F30" s="48"/>
      <c r="G30" s="35"/>
      <c r="H30" s="35"/>
      <c r="I30" s="35"/>
      <c r="J30" s="35"/>
      <c r="K30" s="35"/>
      <c r="L30" s="35"/>
      <c r="M30" s="48"/>
      <c r="N30" s="48"/>
      <c r="O30" s="48"/>
      <c r="P30" s="48"/>
      <c r="Q30" s="48"/>
      <c r="R30" s="40"/>
      <c r="S30" s="40"/>
      <c r="T30" s="40"/>
      <c r="U30" s="40"/>
      <c r="V30" s="48"/>
      <c r="W30" s="48"/>
      <c r="X30" s="48"/>
      <c r="Y30" s="48"/>
      <c r="Z30" s="48"/>
      <c r="AA30" s="48"/>
      <c r="AB30" s="48"/>
      <c r="AC30" s="48"/>
      <c r="AD30" s="48"/>
      <c r="AE30" s="48">
        <v>500</v>
      </c>
      <c r="AF30" s="48"/>
      <c r="AG30" s="48"/>
      <c r="AH30" s="48"/>
      <c r="AI30" s="49"/>
    </row>
    <row r="31" spans="1:35" x14ac:dyDescent="0.25">
      <c r="A31" s="48">
        <v>9</v>
      </c>
      <c r="B31" s="176" t="s">
        <v>895</v>
      </c>
      <c r="C31" s="176" t="s">
        <v>894</v>
      </c>
      <c r="D31" s="138">
        <f t="shared" si="3"/>
        <v>30120</v>
      </c>
      <c r="E31" s="48"/>
      <c r="F31" s="48"/>
      <c r="G31" s="35">
        <v>120</v>
      </c>
      <c r="H31" s="35"/>
      <c r="I31" s="35"/>
      <c r="J31" s="35"/>
      <c r="K31" s="35"/>
      <c r="L31" s="35"/>
      <c r="M31" s="48"/>
      <c r="N31" s="48"/>
      <c r="O31" s="48"/>
      <c r="P31" s="48"/>
      <c r="Q31" s="48"/>
      <c r="R31" s="40"/>
      <c r="S31" s="40"/>
      <c r="T31" s="40"/>
      <c r="U31" s="40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>
        <f>850*20+1000</f>
        <v>18000</v>
      </c>
      <c r="AG31" s="48">
        <v>12000</v>
      </c>
      <c r="AH31" s="48"/>
      <c r="AI31" s="49"/>
    </row>
    <row r="32" spans="1:35" x14ac:dyDescent="0.25">
      <c r="A32" s="48">
        <v>10</v>
      </c>
      <c r="B32" s="176" t="s">
        <v>1064</v>
      </c>
      <c r="C32" s="176" t="s">
        <v>1063</v>
      </c>
      <c r="D32" s="138">
        <f t="shared" si="3"/>
        <v>42500</v>
      </c>
      <c r="E32" s="48"/>
      <c r="F32" s="48"/>
      <c r="G32" s="35"/>
      <c r="H32" s="35"/>
      <c r="I32" s="35"/>
      <c r="J32" s="35"/>
      <c r="K32" s="35"/>
      <c r="L32" s="35"/>
      <c r="M32" s="48"/>
      <c r="N32" s="48"/>
      <c r="O32" s="48"/>
      <c r="P32" s="48"/>
      <c r="Q32" s="48"/>
      <c r="R32" s="40"/>
      <c r="S32" s="40"/>
      <c r="T32" s="40"/>
      <c r="U32" s="40">
        <v>2500</v>
      </c>
      <c r="V32" s="48"/>
      <c r="W32" s="48"/>
      <c r="X32" s="48"/>
      <c r="Y32" s="48"/>
      <c r="Z32" s="48"/>
      <c r="AA32" s="48"/>
      <c r="AB32" s="48"/>
      <c r="AC32" s="48">
        <f>750*20</f>
        <v>15000</v>
      </c>
      <c r="AD32" s="48"/>
      <c r="AE32" s="48"/>
      <c r="AF32" s="48"/>
      <c r="AG32" s="48">
        <v>25000</v>
      </c>
      <c r="AH32" s="48"/>
      <c r="AI32" s="49"/>
    </row>
    <row r="33" spans="1:35" x14ac:dyDescent="0.25">
      <c r="A33" s="48">
        <v>11</v>
      </c>
      <c r="B33" s="166" t="s">
        <v>582</v>
      </c>
      <c r="C33" s="166" t="s">
        <v>580</v>
      </c>
      <c r="D33" s="138">
        <f t="shared" si="3"/>
        <v>21300</v>
      </c>
      <c r="E33" s="48"/>
      <c r="F33" s="48"/>
      <c r="G33" s="35"/>
      <c r="H33" s="35"/>
      <c r="I33" s="35"/>
      <c r="J33" s="35"/>
      <c r="K33" s="35"/>
      <c r="L33" s="35"/>
      <c r="M33" s="48"/>
      <c r="N33" s="48"/>
      <c r="O33" s="48"/>
      <c r="P33" s="48"/>
      <c r="Q33" s="48"/>
      <c r="R33" s="40"/>
      <c r="S33" s="40"/>
      <c r="T33" s="40"/>
      <c r="U33" s="40">
        <v>5500</v>
      </c>
      <c r="V33" s="48">
        <v>5800</v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>
        <f>473*20</f>
        <v>9460</v>
      </c>
      <c r="AI33" s="49">
        <v>540</v>
      </c>
    </row>
    <row r="34" spans="1:35" x14ac:dyDescent="0.25">
      <c r="A34" s="48">
        <v>12</v>
      </c>
      <c r="B34" s="166" t="s">
        <v>320</v>
      </c>
      <c r="C34" s="166" t="s">
        <v>581</v>
      </c>
      <c r="D34" s="138">
        <f t="shared" si="3"/>
        <v>378500</v>
      </c>
      <c r="E34" s="48"/>
      <c r="F34" s="48"/>
      <c r="G34" s="35"/>
      <c r="H34" s="35"/>
      <c r="I34" s="35"/>
      <c r="J34" s="35"/>
      <c r="K34" s="35"/>
      <c r="L34" s="35"/>
      <c r="M34" s="48">
        <f>921*20</f>
        <v>18420</v>
      </c>
      <c r="N34" s="48">
        <f>440*20</f>
        <v>8800</v>
      </c>
      <c r="O34" s="48">
        <f>1639*20</f>
        <v>32780</v>
      </c>
      <c r="P34" s="48"/>
      <c r="Q34" s="48"/>
      <c r="R34" s="40"/>
      <c r="S34" s="40"/>
      <c r="T34" s="40"/>
      <c r="U34" s="40"/>
      <c r="V34" s="48"/>
      <c r="W34" s="48"/>
      <c r="X34" s="48">
        <f>880*20+1120*20</f>
        <v>40000</v>
      </c>
      <c r="Y34" s="48">
        <f>1250*20+750*20</f>
        <v>40000</v>
      </c>
      <c r="Z34" s="48">
        <f>2270*20</f>
        <v>45400</v>
      </c>
      <c r="AA34" s="48">
        <f>494*20</f>
        <v>9880</v>
      </c>
      <c r="AB34" s="48">
        <v>9720</v>
      </c>
      <c r="AC34" s="48">
        <f>277*20+1473*20</f>
        <v>35000</v>
      </c>
      <c r="AD34" s="48">
        <f>1530*20+1970*20</f>
        <v>70000</v>
      </c>
      <c r="AE34" s="48">
        <f>606*20+1394*20</f>
        <v>40000</v>
      </c>
      <c r="AF34" s="48">
        <v>10000</v>
      </c>
      <c r="AG34" s="48"/>
      <c r="AH34" s="48">
        <f>925*20</f>
        <v>18500</v>
      </c>
      <c r="AI34" s="49"/>
    </row>
    <row r="35" spans="1:35" x14ac:dyDescent="0.25">
      <c r="A35" s="48">
        <v>13</v>
      </c>
      <c r="B35" s="166" t="s">
        <v>543</v>
      </c>
      <c r="C35" s="166" t="s">
        <v>542</v>
      </c>
      <c r="D35" s="138">
        <f t="shared" si="3"/>
        <v>2500</v>
      </c>
      <c r="E35" s="48"/>
      <c r="F35" s="48"/>
      <c r="G35" s="35"/>
      <c r="H35" s="35"/>
      <c r="I35" s="35"/>
      <c r="J35" s="35"/>
      <c r="K35" s="35"/>
      <c r="L35" s="35"/>
      <c r="M35" s="48"/>
      <c r="N35" s="48"/>
      <c r="O35" s="48"/>
      <c r="P35" s="48"/>
      <c r="Q35" s="48"/>
      <c r="R35" s="40"/>
      <c r="S35" s="40"/>
      <c r="T35" s="40"/>
      <c r="U35" s="40"/>
      <c r="V35" s="48">
        <v>2500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9"/>
    </row>
    <row r="36" spans="1:35" x14ac:dyDescent="0.25">
      <c r="A36" s="48">
        <v>14</v>
      </c>
      <c r="B36" s="166" t="s">
        <v>226</v>
      </c>
      <c r="C36" s="166" t="s">
        <v>225</v>
      </c>
      <c r="D36" s="138">
        <f t="shared" si="3"/>
        <v>1600</v>
      </c>
      <c r="E36" s="48"/>
      <c r="F36" s="48"/>
      <c r="G36" s="35"/>
      <c r="H36" s="35"/>
      <c r="I36" s="35"/>
      <c r="J36" s="35"/>
      <c r="K36" s="35"/>
      <c r="L36" s="35"/>
      <c r="M36" s="48"/>
      <c r="N36" s="48"/>
      <c r="O36" s="48"/>
      <c r="P36" s="48"/>
      <c r="Q36" s="48"/>
      <c r="R36" s="40"/>
      <c r="S36" s="40"/>
      <c r="T36" s="40"/>
      <c r="U36" s="40"/>
      <c r="V36" s="48"/>
      <c r="W36" s="48">
        <v>1600</v>
      </c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</row>
    <row r="37" spans="1:35" x14ac:dyDescent="0.25">
      <c r="A37" s="48">
        <v>15</v>
      </c>
      <c r="B37" s="176" t="s">
        <v>1030</v>
      </c>
      <c r="C37" s="176" t="s">
        <v>1029</v>
      </c>
      <c r="D37" s="138">
        <f t="shared" si="3"/>
        <v>5900</v>
      </c>
      <c r="E37" s="48"/>
      <c r="F37" s="48"/>
      <c r="G37" s="35"/>
      <c r="H37" s="35"/>
      <c r="I37" s="35"/>
      <c r="J37" s="35"/>
      <c r="K37" s="35"/>
      <c r="L37" s="35"/>
      <c r="M37" s="48"/>
      <c r="N37" s="48"/>
      <c r="O37" s="48"/>
      <c r="P37" s="48"/>
      <c r="Q37" s="48"/>
      <c r="R37" s="40"/>
      <c r="S37" s="40"/>
      <c r="T37" s="40"/>
      <c r="U37" s="40"/>
      <c r="V37" s="48"/>
      <c r="W37" s="48"/>
      <c r="X37" s="48"/>
      <c r="Y37" s="48">
        <v>5900</v>
      </c>
      <c r="Z37" s="48"/>
      <c r="AA37" s="48"/>
      <c r="AB37" s="48"/>
      <c r="AC37" s="48"/>
      <c r="AD37" s="48"/>
      <c r="AE37" s="48"/>
      <c r="AF37" s="48"/>
      <c r="AG37" s="48"/>
      <c r="AH37" s="48"/>
      <c r="AI37" s="49"/>
    </row>
    <row r="38" spans="1:35" x14ac:dyDescent="0.25">
      <c r="A38" s="48">
        <v>16</v>
      </c>
      <c r="B38" s="166" t="s">
        <v>236</v>
      </c>
      <c r="C38" s="166" t="s">
        <v>235</v>
      </c>
      <c r="D38" s="138">
        <f t="shared" si="3"/>
        <v>58004</v>
      </c>
      <c r="E38" s="48"/>
      <c r="F38" s="48"/>
      <c r="G38" s="35"/>
      <c r="H38" s="35"/>
      <c r="I38" s="35">
        <v>4</v>
      </c>
      <c r="J38" s="35">
        <f>755*20+14900</f>
        <v>30000</v>
      </c>
      <c r="K38" s="35"/>
      <c r="L38" s="35">
        <v>19500</v>
      </c>
      <c r="M38" s="48"/>
      <c r="N38" s="48"/>
      <c r="O38" s="48">
        <f>25*20</f>
        <v>500</v>
      </c>
      <c r="P38" s="48"/>
      <c r="Q38" s="48"/>
      <c r="R38" s="40"/>
      <c r="S38" s="40"/>
      <c r="T38" s="40"/>
      <c r="U38" s="40">
        <v>8000</v>
      </c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9"/>
    </row>
    <row r="39" spans="1:35" x14ac:dyDescent="0.25">
      <c r="A39" s="48">
        <v>17</v>
      </c>
      <c r="B39" s="176" t="s">
        <v>1024</v>
      </c>
      <c r="C39" s="176" t="s">
        <v>1023</v>
      </c>
      <c r="D39" s="138">
        <f t="shared" si="3"/>
        <v>100</v>
      </c>
      <c r="E39" s="48"/>
      <c r="F39" s="48"/>
      <c r="G39" s="35"/>
      <c r="H39" s="35"/>
      <c r="I39" s="35"/>
      <c r="J39" s="35"/>
      <c r="K39" s="35"/>
      <c r="L39" s="35"/>
      <c r="M39" s="48"/>
      <c r="N39" s="48">
        <v>100</v>
      </c>
      <c r="O39" s="48"/>
      <c r="P39" s="48"/>
      <c r="Q39" s="48"/>
      <c r="R39" s="40"/>
      <c r="S39" s="40"/>
      <c r="T39" s="40"/>
      <c r="U39" s="40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9"/>
    </row>
    <row r="40" spans="1:35" x14ac:dyDescent="0.25">
      <c r="A40" s="48">
        <v>18</v>
      </c>
      <c r="B40" s="176" t="s">
        <v>1227</v>
      </c>
      <c r="C40" s="176" t="s">
        <v>1226</v>
      </c>
      <c r="D40" s="138">
        <f t="shared" si="3"/>
        <v>0</v>
      </c>
      <c r="E40" s="48"/>
      <c r="F40" s="48"/>
      <c r="G40" s="35"/>
      <c r="H40" s="35"/>
      <c r="I40" s="35"/>
      <c r="J40" s="35"/>
      <c r="K40" s="35"/>
      <c r="L40" s="35"/>
      <c r="M40" s="48"/>
      <c r="N40" s="48"/>
      <c r="O40" s="48"/>
      <c r="P40" s="48"/>
      <c r="Q40" s="48"/>
      <c r="R40" s="40"/>
      <c r="S40" s="40"/>
      <c r="T40" s="40"/>
      <c r="U40" s="40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9"/>
    </row>
    <row r="41" spans="1:35" x14ac:dyDescent="0.25">
      <c r="A41" s="48">
        <v>19</v>
      </c>
      <c r="B41" s="176" t="s">
        <v>1032</v>
      </c>
      <c r="C41" s="176" t="s">
        <v>1031</v>
      </c>
      <c r="D41" s="138">
        <f t="shared" si="3"/>
        <v>500</v>
      </c>
      <c r="E41" s="48"/>
      <c r="F41" s="48"/>
      <c r="G41" s="35"/>
      <c r="H41" s="35"/>
      <c r="I41" s="35"/>
      <c r="J41" s="35"/>
      <c r="K41" s="35"/>
      <c r="L41" s="35"/>
      <c r="M41" s="48"/>
      <c r="N41" s="48"/>
      <c r="O41" s="48"/>
      <c r="P41" s="48"/>
      <c r="Q41" s="48"/>
      <c r="R41" s="40"/>
      <c r="S41" s="40"/>
      <c r="T41" s="40"/>
      <c r="U41" s="40"/>
      <c r="V41" s="48"/>
      <c r="W41" s="48"/>
      <c r="X41" s="48"/>
      <c r="Y41" s="48">
        <v>500</v>
      </c>
      <c r="Z41" s="48"/>
      <c r="AA41" s="48"/>
      <c r="AB41" s="48"/>
      <c r="AC41" s="48"/>
      <c r="AD41" s="48"/>
      <c r="AE41" s="48"/>
      <c r="AF41" s="48"/>
      <c r="AG41" s="48"/>
      <c r="AH41" s="48"/>
      <c r="AI41" s="49"/>
    </row>
    <row r="42" spans="1:35" x14ac:dyDescent="0.25">
      <c r="A42" s="48">
        <v>20</v>
      </c>
      <c r="B42" s="166" t="s">
        <v>280</v>
      </c>
      <c r="C42" s="166" t="s">
        <v>279</v>
      </c>
      <c r="D42" s="138">
        <f t="shared" si="3"/>
        <v>4000</v>
      </c>
      <c r="E42" s="48"/>
      <c r="F42" s="48"/>
      <c r="G42" s="35"/>
      <c r="H42" s="35"/>
      <c r="I42" s="35"/>
      <c r="J42" s="35"/>
      <c r="K42" s="35"/>
      <c r="L42" s="35"/>
      <c r="M42" s="48"/>
      <c r="N42" s="48"/>
      <c r="O42" s="48"/>
      <c r="P42" s="48"/>
      <c r="Q42" s="48"/>
      <c r="R42" s="40"/>
      <c r="S42" s="40"/>
      <c r="T42" s="40"/>
      <c r="U42" s="40"/>
      <c r="V42" s="48">
        <v>4000</v>
      </c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9"/>
    </row>
    <row r="43" spans="1:35" x14ac:dyDescent="0.25">
      <c r="A43" s="48">
        <v>21</v>
      </c>
      <c r="B43" s="166" t="s">
        <v>284</v>
      </c>
      <c r="C43" s="166" t="s">
        <v>283</v>
      </c>
      <c r="D43" s="138">
        <f t="shared" si="3"/>
        <v>0</v>
      </c>
      <c r="E43" s="48"/>
      <c r="F43" s="48"/>
      <c r="G43" s="35"/>
      <c r="H43" s="35"/>
      <c r="I43" s="35"/>
      <c r="J43" s="35"/>
      <c r="K43" s="35"/>
      <c r="L43" s="35"/>
      <c r="M43" s="48"/>
      <c r="N43" s="48"/>
      <c r="O43" s="48"/>
      <c r="P43" s="48"/>
      <c r="Q43" s="48"/>
      <c r="R43" s="40"/>
      <c r="S43" s="40"/>
      <c r="T43" s="40"/>
      <c r="U43" s="40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9"/>
    </row>
    <row r="44" spans="1:35" x14ac:dyDescent="0.25">
      <c r="A44" s="48">
        <v>22</v>
      </c>
      <c r="B44" s="176" t="s">
        <v>1222</v>
      </c>
      <c r="C44" s="176" t="s">
        <v>1221</v>
      </c>
      <c r="D44" s="138">
        <f t="shared" si="3"/>
        <v>25000</v>
      </c>
      <c r="E44" s="48"/>
      <c r="F44" s="48"/>
      <c r="G44" s="35"/>
      <c r="H44" s="35"/>
      <c r="I44" s="35"/>
      <c r="J44" s="35"/>
      <c r="K44" s="35"/>
      <c r="L44" s="35"/>
      <c r="M44" s="48"/>
      <c r="N44" s="48"/>
      <c r="O44" s="48"/>
      <c r="P44" s="48"/>
      <c r="Q44" s="48"/>
      <c r="R44" s="40"/>
      <c r="S44" s="40"/>
      <c r="T44" s="40"/>
      <c r="U44" s="40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>
        <f>20000+5000</f>
        <v>25000</v>
      </c>
      <c r="AI44" s="49"/>
    </row>
    <row r="45" spans="1:35" x14ac:dyDescent="0.25">
      <c r="A45" s="48">
        <v>23</v>
      </c>
      <c r="B45" s="166" t="s">
        <v>320</v>
      </c>
      <c r="C45" s="166" t="s">
        <v>319</v>
      </c>
      <c r="D45" s="138">
        <f t="shared" si="3"/>
        <v>37000</v>
      </c>
      <c r="E45" s="48"/>
      <c r="F45" s="48"/>
      <c r="G45" s="35"/>
      <c r="H45" s="35"/>
      <c r="I45" s="35"/>
      <c r="J45" s="35"/>
      <c r="K45" s="35"/>
      <c r="L45" s="35"/>
      <c r="M45" s="48"/>
      <c r="N45" s="48"/>
      <c r="O45" s="48"/>
      <c r="P45" s="48"/>
      <c r="Q45" s="48">
        <v>7000</v>
      </c>
      <c r="R45" s="40"/>
      <c r="S45" s="40"/>
      <c r="T45" s="40"/>
      <c r="U45" s="40"/>
      <c r="V45" s="48"/>
      <c r="W45" s="48"/>
      <c r="X45" s="48"/>
      <c r="Y45" s="48"/>
      <c r="Z45" s="48"/>
      <c r="AA45" s="48"/>
      <c r="AB45" s="48"/>
      <c r="AC45" s="48">
        <v>15000</v>
      </c>
      <c r="AD45" s="48"/>
      <c r="AE45" s="48"/>
      <c r="AF45" s="48">
        <v>15000</v>
      </c>
      <c r="AG45" s="48"/>
      <c r="AH45" s="48"/>
      <c r="AI45" s="49"/>
    </row>
    <row r="46" spans="1:35" x14ac:dyDescent="0.25">
      <c r="A46" s="48">
        <v>24</v>
      </c>
      <c r="B46" s="166" t="s">
        <v>289</v>
      </c>
      <c r="C46" s="166" t="s">
        <v>288</v>
      </c>
      <c r="D46" s="138">
        <f t="shared" si="3"/>
        <v>0</v>
      </c>
      <c r="E46" s="48"/>
      <c r="F46" s="48"/>
      <c r="G46" s="35"/>
      <c r="H46" s="35"/>
      <c r="I46" s="35"/>
      <c r="J46" s="35"/>
      <c r="K46" s="35"/>
      <c r="L46" s="35"/>
      <c r="M46" s="48"/>
      <c r="N46" s="48"/>
      <c r="O46" s="48"/>
      <c r="P46" s="48"/>
      <c r="Q46" s="48"/>
      <c r="R46" s="40"/>
      <c r="S46" s="40"/>
      <c r="T46" s="40"/>
      <c r="U46" s="40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9"/>
    </row>
    <row r="47" spans="1:35" x14ac:dyDescent="0.25">
      <c r="A47" s="48">
        <v>25</v>
      </c>
      <c r="B47" s="166" t="s">
        <v>256</v>
      </c>
      <c r="C47" s="166" t="s">
        <v>255</v>
      </c>
      <c r="D47" s="138">
        <f t="shared" si="3"/>
        <v>25000</v>
      </c>
      <c r="E47" s="48"/>
      <c r="F47" s="48"/>
      <c r="G47" s="35"/>
      <c r="H47" s="35"/>
      <c r="I47" s="35"/>
      <c r="J47" s="35"/>
      <c r="K47" s="35"/>
      <c r="L47" s="35"/>
      <c r="M47" s="48"/>
      <c r="N47" s="48"/>
      <c r="O47" s="48"/>
      <c r="P47" s="48"/>
      <c r="Q47" s="48"/>
      <c r="R47" s="40"/>
      <c r="S47" s="40"/>
      <c r="T47" s="40"/>
      <c r="U47" s="40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>
        <v>25000</v>
      </c>
      <c r="AH47" s="48"/>
      <c r="AI47" s="49"/>
    </row>
    <row r="48" spans="1:35" x14ac:dyDescent="0.25">
      <c r="A48" s="48">
        <v>26</v>
      </c>
      <c r="B48" s="176" t="s">
        <v>1086</v>
      </c>
      <c r="C48" s="176" t="s">
        <v>1085</v>
      </c>
      <c r="D48" s="138">
        <f t="shared" si="3"/>
        <v>5000</v>
      </c>
      <c r="E48" s="48"/>
      <c r="F48" s="48"/>
      <c r="G48" s="35"/>
      <c r="H48" s="35"/>
      <c r="I48" s="35"/>
      <c r="J48" s="35"/>
      <c r="K48" s="35"/>
      <c r="L48" s="35"/>
      <c r="M48" s="48"/>
      <c r="N48" s="48"/>
      <c r="O48" s="48"/>
      <c r="P48" s="48"/>
      <c r="Q48" s="48"/>
      <c r="R48" s="40"/>
      <c r="S48" s="40"/>
      <c r="T48" s="40"/>
      <c r="U48" s="40"/>
      <c r="V48" s="48"/>
      <c r="W48" s="48"/>
      <c r="X48" s="48"/>
      <c r="Y48" s="48"/>
      <c r="Z48" s="48"/>
      <c r="AA48" s="48">
        <f>250*20</f>
        <v>5000</v>
      </c>
      <c r="AB48" s="48"/>
      <c r="AC48" s="48"/>
      <c r="AD48" s="48"/>
      <c r="AE48" s="48"/>
      <c r="AF48" s="48"/>
      <c r="AG48" s="48"/>
      <c r="AH48" s="48"/>
      <c r="AI48" s="49"/>
    </row>
    <row r="49" spans="1:35" x14ac:dyDescent="0.25">
      <c r="A49" s="48">
        <v>27</v>
      </c>
      <c r="B49" s="176" t="s">
        <v>1088</v>
      </c>
      <c r="C49" s="176" t="s">
        <v>1087</v>
      </c>
      <c r="D49" s="138">
        <f t="shared" si="3"/>
        <v>4100</v>
      </c>
      <c r="E49" s="48"/>
      <c r="F49" s="48"/>
      <c r="G49" s="35"/>
      <c r="H49" s="35"/>
      <c r="I49" s="35"/>
      <c r="J49" s="35"/>
      <c r="K49" s="35"/>
      <c r="L49" s="35"/>
      <c r="M49" s="48"/>
      <c r="N49" s="48"/>
      <c r="O49" s="48"/>
      <c r="P49" s="48"/>
      <c r="Q49" s="48"/>
      <c r="R49" s="40"/>
      <c r="S49" s="40"/>
      <c r="T49" s="40"/>
      <c r="U49" s="40"/>
      <c r="V49" s="48"/>
      <c r="W49" s="48">
        <v>4100</v>
      </c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9"/>
    </row>
    <row r="50" spans="1:35" x14ac:dyDescent="0.25">
      <c r="A50" s="48">
        <v>28</v>
      </c>
      <c r="B50" s="166" t="s">
        <v>310</v>
      </c>
      <c r="C50" s="166" t="s">
        <v>309</v>
      </c>
      <c r="D50" s="138">
        <f t="shared" si="3"/>
        <v>550</v>
      </c>
      <c r="E50" s="48"/>
      <c r="F50" s="48"/>
      <c r="G50" s="35"/>
      <c r="H50" s="35"/>
      <c r="I50" s="35"/>
      <c r="J50" s="35">
        <v>472</v>
      </c>
      <c r="K50" s="35"/>
      <c r="L50" s="35"/>
      <c r="M50" s="48"/>
      <c r="N50" s="48"/>
      <c r="O50" s="48"/>
      <c r="P50" s="48"/>
      <c r="Q50" s="48"/>
      <c r="R50" s="40"/>
      <c r="S50" s="40"/>
      <c r="T50" s="40"/>
      <c r="U50" s="40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9">
        <v>78</v>
      </c>
    </row>
    <row r="51" spans="1:35" x14ac:dyDescent="0.25">
      <c r="A51" s="48">
        <v>29</v>
      </c>
      <c r="B51" s="166" t="s">
        <v>258</v>
      </c>
      <c r="C51" s="166" t="s">
        <v>257</v>
      </c>
      <c r="D51" s="138">
        <f t="shared" si="3"/>
        <v>13500</v>
      </c>
      <c r="E51" s="48"/>
      <c r="F51" s="48"/>
      <c r="G51" s="35"/>
      <c r="H51" s="35"/>
      <c r="I51" s="35"/>
      <c r="J51" s="35"/>
      <c r="K51" s="35">
        <v>10000</v>
      </c>
      <c r="L51" s="35"/>
      <c r="M51" s="48"/>
      <c r="N51" s="48"/>
      <c r="O51" s="48">
        <f>75*20+2000</f>
        <v>3500</v>
      </c>
      <c r="P51" s="48"/>
      <c r="Q51" s="48"/>
      <c r="R51" s="40"/>
      <c r="S51" s="40"/>
      <c r="T51" s="40"/>
      <c r="U51" s="40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9"/>
    </row>
    <row r="52" spans="1:35" x14ac:dyDescent="0.25">
      <c r="A52" s="48">
        <v>30</v>
      </c>
      <c r="B52" s="166" t="s">
        <v>287</v>
      </c>
      <c r="C52" s="166" t="s">
        <v>296</v>
      </c>
      <c r="D52" s="138">
        <f t="shared" si="3"/>
        <v>19700</v>
      </c>
      <c r="E52" s="48"/>
      <c r="F52" s="48"/>
      <c r="G52" s="35"/>
      <c r="H52" s="35"/>
      <c r="I52" s="35"/>
      <c r="J52" s="35"/>
      <c r="K52" s="35"/>
      <c r="L52" s="35"/>
      <c r="M52" s="48"/>
      <c r="N52" s="48"/>
      <c r="O52" s="48"/>
      <c r="P52" s="48"/>
      <c r="Q52" s="48">
        <v>4700</v>
      </c>
      <c r="R52" s="40"/>
      <c r="S52" s="40"/>
      <c r="T52" s="40"/>
      <c r="U52" s="40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>
        <f>600+14400</f>
        <v>15000</v>
      </c>
      <c r="AH52" s="48"/>
      <c r="AI52" s="49"/>
    </row>
    <row r="53" spans="1:35" x14ac:dyDescent="0.25">
      <c r="A53" s="48">
        <v>31</v>
      </c>
      <c r="B53" s="176" t="s">
        <v>1124</v>
      </c>
      <c r="C53" s="176" t="s">
        <v>1123</v>
      </c>
      <c r="D53" s="138">
        <f t="shared" si="3"/>
        <v>500</v>
      </c>
      <c r="E53" s="48"/>
      <c r="F53" s="48"/>
      <c r="G53" s="35"/>
      <c r="H53" s="35"/>
      <c r="I53" s="35"/>
      <c r="J53" s="35"/>
      <c r="K53" s="35"/>
      <c r="L53" s="35"/>
      <c r="M53" s="48"/>
      <c r="N53" s="48"/>
      <c r="O53" s="48"/>
      <c r="P53" s="48"/>
      <c r="Q53" s="48"/>
      <c r="R53" s="40"/>
      <c r="S53" s="40"/>
      <c r="T53" s="40"/>
      <c r="U53" s="40"/>
      <c r="V53" s="48"/>
      <c r="W53" s="48"/>
      <c r="X53" s="48"/>
      <c r="Y53" s="48">
        <v>500</v>
      </c>
      <c r="Z53" s="48"/>
      <c r="AA53" s="48"/>
      <c r="AB53" s="48"/>
      <c r="AC53" s="48"/>
      <c r="AD53" s="48"/>
      <c r="AE53" s="48"/>
      <c r="AF53" s="48"/>
      <c r="AG53" s="48"/>
      <c r="AH53" s="48"/>
      <c r="AI53" s="49"/>
    </row>
    <row r="54" spans="1:35" x14ac:dyDescent="0.25">
      <c r="A54" s="141" t="s">
        <v>140</v>
      </c>
      <c r="B54" s="144" t="s">
        <v>122</v>
      </c>
      <c r="C54" s="141" t="s">
        <v>141</v>
      </c>
      <c r="D54" s="143">
        <f t="shared" ref="D54:AI54" si="4">SUM(D55:D100)</f>
        <v>1910504</v>
      </c>
      <c r="E54" s="143">
        <f t="shared" si="4"/>
        <v>0</v>
      </c>
      <c r="F54" s="143">
        <f t="shared" si="4"/>
        <v>0</v>
      </c>
      <c r="G54" s="143">
        <f t="shared" si="4"/>
        <v>0</v>
      </c>
      <c r="H54" s="143">
        <f t="shared" si="4"/>
        <v>2319</v>
      </c>
      <c r="I54" s="143">
        <f t="shared" si="4"/>
        <v>0</v>
      </c>
      <c r="J54" s="143">
        <f t="shared" si="4"/>
        <v>29744</v>
      </c>
      <c r="K54" s="143">
        <f t="shared" si="4"/>
        <v>82668</v>
      </c>
      <c r="L54" s="143">
        <f t="shared" si="4"/>
        <v>67936</v>
      </c>
      <c r="M54" s="143">
        <f t="shared" si="4"/>
        <v>84672</v>
      </c>
      <c r="N54" s="143">
        <f t="shared" si="4"/>
        <v>74100</v>
      </c>
      <c r="O54" s="143">
        <f t="shared" si="4"/>
        <v>65280</v>
      </c>
      <c r="P54" s="143">
        <f t="shared" si="4"/>
        <v>64804</v>
      </c>
      <c r="Q54" s="143">
        <f t="shared" si="4"/>
        <v>65016</v>
      </c>
      <c r="R54" s="143">
        <f t="shared" si="4"/>
        <v>0</v>
      </c>
      <c r="S54" s="143">
        <f t="shared" si="4"/>
        <v>0</v>
      </c>
      <c r="T54" s="143">
        <f t="shared" si="4"/>
        <v>0</v>
      </c>
      <c r="U54" s="143">
        <f t="shared" si="4"/>
        <v>77409</v>
      </c>
      <c r="V54" s="143">
        <f t="shared" si="4"/>
        <v>77079</v>
      </c>
      <c r="W54" s="143">
        <f t="shared" si="4"/>
        <v>72791</v>
      </c>
      <c r="X54" s="143">
        <f t="shared" si="4"/>
        <v>71281</v>
      </c>
      <c r="Y54" s="143">
        <f t="shared" si="4"/>
        <v>108344</v>
      </c>
      <c r="Z54" s="143">
        <f t="shared" si="4"/>
        <v>94619</v>
      </c>
      <c r="AA54" s="143">
        <f t="shared" si="4"/>
        <v>78016</v>
      </c>
      <c r="AB54" s="143">
        <f t="shared" si="4"/>
        <v>72059</v>
      </c>
      <c r="AC54" s="143">
        <f t="shared" si="4"/>
        <v>83459</v>
      </c>
      <c r="AD54" s="143">
        <f t="shared" si="4"/>
        <v>104379</v>
      </c>
      <c r="AE54" s="143">
        <f t="shared" si="4"/>
        <v>92896</v>
      </c>
      <c r="AF54" s="143">
        <f t="shared" si="4"/>
        <v>81137</v>
      </c>
      <c r="AG54" s="143">
        <f t="shared" si="4"/>
        <v>108540</v>
      </c>
      <c r="AH54" s="143">
        <f t="shared" si="4"/>
        <v>132223</v>
      </c>
      <c r="AI54" s="143">
        <f t="shared" si="4"/>
        <v>119733</v>
      </c>
    </row>
    <row r="55" spans="1:35" x14ac:dyDescent="0.25">
      <c r="A55" s="48">
        <v>1</v>
      </c>
      <c r="B55" s="176" t="s">
        <v>1059</v>
      </c>
      <c r="C55" s="176" t="s">
        <v>1057</v>
      </c>
      <c r="D55" s="138">
        <f t="shared" ref="D55:D100" si="5">SUM(E55:AI55)</f>
        <v>34000</v>
      </c>
      <c r="E55" s="48"/>
      <c r="F55" s="48"/>
      <c r="G55" s="35"/>
      <c r="H55" s="35"/>
      <c r="I55" s="35"/>
      <c r="J55" s="35"/>
      <c r="K55" s="35"/>
      <c r="L55" s="35"/>
      <c r="M55" s="48"/>
      <c r="N55" s="48"/>
      <c r="O55" s="48"/>
      <c r="P55" s="48"/>
      <c r="Q55" s="137"/>
      <c r="R55" s="40"/>
      <c r="S55" s="40"/>
      <c r="T55" s="40"/>
      <c r="U55" s="40">
        <f>115*25</f>
        <v>2875</v>
      </c>
      <c r="V55" s="48">
        <f>103*25</f>
        <v>2575</v>
      </c>
      <c r="W55" s="48">
        <f>230*25+265*25</f>
        <v>12375</v>
      </c>
      <c r="X55" s="48">
        <f>87*25</f>
        <v>2175</v>
      </c>
      <c r="Y55" s="48"/>
      <c r="Z55" s="48"/>
      <c r="AA55" s="48"/>
      <c r="AB55" s="48"/>
      <c r="AC55" s="48">
        <f>160*25</f>
        <v>4000</v>
      </c>
      <c r="AD55" s="137"/>
      <c r="AE55" s="48">
        <f>99*25</f>
        <v>2475</v>
      </c>
      <c r="AF55" s="48">
        <f>301*25</f>
        <v>7525</v>
      </c>
      <c r="AG55" s="48"/>
      <c r="AH55" s="48"/>
      <c r="AI55" s="49"/>
    </row>
    <row r="56" spans="1:35" x14ac:dyDescent="0.25">
      <c r="A56" s="48">
        <v>2</v>
      </c>
      <c r="B56" s="176" t="s">
        <v>1060</v>
      </c>
      <c r="C56" s="176" t="s">
        <v>1058</v>
      </c>
      <c r="D56" s="138">
        <f t="shared" si="5"/>
        <v>5000</v>
      </c>
      <c r="E56" s="48"/>
      <c r="F56" s="48"/>
      <c r="G56" s="35"/>
      <c r="H56" s="35"/>
      <c r="I56" s="35"/>
      <c r="J56" s="35"/>
      <c r="K56" s="35"/>
      <c r="L56" s="35"/>
      <c r="M56" s="48"/>
      <c r="N56" s="48"/>
      <c r="O56" s="48"/>
      <c r="P56" s="48"/>
      <c r="Q56" s="137"/>
      <c r="R56" s="40"/>
      <c r="S56" s="40"/>
      <c r="T56" s="40"/>
      <c r="U56" s="40">
        <v>2000</v>
      </c>
      <c r="V56" s="48"/>
      <c r="W56" s="48"/>
      <c r="X56" s="48"/>
      <c r="Y56" s="48"/>
      <c r="Z56" s="48">
        <f>100*18</f>
        <v>1800</v>
      </c>
      <c r="AA56" s="48">
        <v>1200</v>
      </c>
      <c r="AB56" s="48"/>
      <c r="AC56" s="48"/>
      <c r="AD56" s="137"/>
      <c r="AE56" s="48"/>
      <c r="AF56" s="48"/>
      <c r="AG56" s="48"/>
      <c r="AH56" s="48"/>
      <c r="AI56" s="49"/>
    </row>
    <row r="57" spans="1:35" x14ac:dyDescent="0.25">
      <c r="A57" s="48">
        <v>3</v>
      </c>
      <c r="B57" s="176" t="s">
        <v>857</v>
      </c>
      <c r="C57" s="176" t="s">
        <v>856</v>
      </c>
      <c r="D57" s="138">
        <f t="shared" si="5"/>
        <v>0</v>
      </c>
      <c r="E57" s="48"/>
      <c r="F57" s="48"/>
      <c r="G57" s="35"/>
      <c r="H57" s="35"/>
      <c r="I57" s="35"/>
      <c r="J57" s="35"/>
      <c r="K57" s="156"/>
      <c r="L57" s="35"/>
      <c r="M57" s="48"/>
      <c r="N57" s="48"/>
      <c r="O57" s="48"/>
      <c r="P57" s="48"/>
      <c r="Q57" s="137"/>
      <c r="R57" s="40"/>
      <c r="S57" s="40"/>
      <c r="T57" s="40"/>
      <c r="U57" s="40"/>
      <c r="V57" s="48"/>
      <c r="W57" s="48"/>
      <c r="X57" s="48"/>
      <c r="Y57" s="48"/>
      <c r="Z57" s="48"/>
      <c r="AA57" s="48"/>
      <c r="AB57" s="48"/>
      <c r="AC57" s="48"/>
      <c r="AD57" s="137"/>
      <c r="AE57" s="48"/>
      <c r="AF57" s="48"/>
      <c r="AG57" s="48"/>
      <c r="AH57" s="48"/>
      <c r="AI57" s="49"/>
    </row>
    <row r="58" spans="1:35" x14ac:dyDescent="0.25">
      <c r="A58" s="48">
        <v>4</v>
      </c>
      <c r="B58" s="166" t="s">
        <v>179</v>
      </c>
      <c r="C58" s="166" t="s">
        <v>178</v>
      </c>
      <c r="D58" s="138">
        <f t="shared" si="5"/>
        <v>215000</v>
      </c>
      <c r="E58" s="48"/>
      <c r="F58" s="48"/>
      <c r="G58" s="35"/>
      <c r="H58" s="35"/>
      <c r="I58" s="35"/>
      <c r="J58" s="35"/>
      <c r="K58" s="35"/>
      <c r="L58" s="35"/>
      <c r="M58" s="48">
        <f>420*42</f>
        <v>17640</v>
      </c>
      <c r="N58" s="48">
        <v>12360</v>
      </c>
      <c r="O58" s="48">
        <f>430*42</f>
        <v>18060</v>
      </c>
      <c r="P58" s="48">
        <f>490*42</f>
        <v>20580</v>
      </c>
      <c r="Q58" s="137"/>
      <c r="R58" s="40"/>
      <c r="S58" s="40"/>
      <c r="T58" s="40"/>
      <c r="U58" s="40"/>
      <c r="V58" s="48">
        <f>10*42</f>
        <v>420</v>
      </c>
      <c r="W58" s="48">
        <f>330*42</f>
        <v>13860</v>
      </c>
      <c r="X58" s="48"/>
      <c r="Y58" s="48">
        <f>430*42</f>
        <v>18060</v>
      </c>
      <c r="Z58" s="48">
        <v>19020</v>
      </c>
      <c r="AA58" s="48">
        <f>30*42</f>
        <v>1260</v>
      </c>
      <c r="AB58" s="48">
        <f>150*42+75*42+520*42</f>
        <v>31290</v>
      </c>
      <c r="AC58" s="48">
        <f>472*42+52*42+525*42</f>
        <v>44058</v>
      </c>
      <c r="AD58" s="137">
        <f>78*42</f>
        <v>3276</v>
      </c>
      <c r="AE58" s="48"/>
      <c r="AF58" s="48">
        <f>355*42+206</f>
        <v>15116</v>
      </c>
      <c r="AG58" s="48"/>
      <c r="AH58" s="48"/>
      <c r="AI58" s="49"/>
    </row>
    <row r="59" spans="1:35" x14ac:dyDescent="0.25">
      <c r="A59" s="48">
        <v>5</v>
      </c>
      <c r="B59" s="156" t="s">
        <v>774</v>
      </c>
      <c r="C59" s="176" t="s">
        <v>773</v>
      </c>
      <c r="D59" s="138">
        <f t="shared" si="5"/>
        <v>6500</v>
      </c>
      <c r="E59" s="48"/>
      <c r="F59" s="48"/>
      <c r="G59" s="35"/>
      <c r="H59" s="35"/>
      <c r="I59" s="35"/>
      <c r="J59" s="35"/>
      <c r="K59" s="35"/>
      <c r="L59" s="35"/>
      <c r="M59" s="48"/>
      <c r="N59" s="48"/>
      <c r="O59" s="48"/>
      <c r="P59" s="48">
        <v>1500</v>
      </c>
      <c r="Q59" s="48"/>
      <c r="R59" s="40"/>
      <c r="S59" s="40"/>
      <c r="T59" s="40"/>
      <c r="U59" s="40"/>
      <c r="V59" s="48">
        <f>128*39</f>
        <v>4992</v>
      </c>
      <c r="W59" s="48"/>
      <c r="X59" s="48">
        <v>8</v>
      </c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9"/>
    </row>
    <row r="60" spans="1:35" x14ac:dyDescent="0.25">
      <c r="A60" s="48">
        <v>6</v>
      </c>
      <c r="B60" s="176" t="s">
        <v>879</v>
      </c>
      <c r="C60" s="176" t="s">
        <v>878</v>
      </c>
      <c r="D60" s="138">
        <f t="shared" si="5"/>
        <v>13000</v>
      </c>
      <c r="E60" s="48"/>
      <c r="F60" s="48"/>
      <c r="G60" s="35"/>
      <c r="H60" s="35"/>
      <c r="I60" s="35"/>
      <c r="J60" s="35"/>
      <c r="K60" s="35"/>
      <c r="L60" s="35"/>
      <c r="M60" s="48"/>
      <c r="N60" s="48"/>
      <c r="O60" s="48">
        <v>5040</v>
      </c>
      <c r="P60" s="48">
        <v>7960</v>
      </c>
      <c r="Q60" s="48"/>
      <c r="R60" s="40"/>
      <c r="S60" s="40"/>
      <c r="T60" s="40"/>
      <c r="U60" s="40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9"/>
    </row>
    <row r="61" spans="1:35" x14ac:dyDescent="0.25">
      <c r="A61" s="48">
        <v>7</v>
      </c>
      <c r="B61" s="166" t="s">
        <v>471</v>
      </c>
      <c r="C61" s="166" t="s">
        <v>470</v>
      </c>
      <c r="D61" s="138">
        <f t="shared" si="5"/>
        <v>0</v>
      </c>
      <c r="E61" s="48"/>
      <c r="F61" s="48"/>
      <c r="G61" s="35"/>
      <c r="H61" s="35"/>
      <c r="I61" s="35"/>
      <c r="J61" s="35"/>
      <c r="K61" s="35"/>
      <c r="L61" s="35"/>
      <c r="M61" s="48"/>
      <c r="N61" s="48"/>
      <c r="O61" s="48"/>
      <c r="P61" s="48"/>
      <c r="Q61" s="48"/>
      <c r="R61" s="40"/>
      <c r="S61" s="40"/>
      <c r="T61" s="40"/>
      <c r="U61" s="40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9"/>
    </row>
    <row r="62" spans="1:35" x14ac:dyDescent="0.25">
      <c r="A62" s="48">
        <v>8</v>
      </c>
      <c r="B62" s="176" t="s">
        <v>1096</v>
      </c>
      <c r="C62" s="176" t="s">
        <v>1095</v>
      </c>
      <c r="D62" s="138">
        <f t="shared" si="5"/>
        <v>4000</v>
      </c>
      <c r="E62" s="48"/>
      <c r="F62" s="48"/>
      <c r="G62" s="35"/>
      <c r="H62" s="35"/>
      <c r="I62" s="35"/>
      <c r="J62" s="35"/>
      <c r="K62" s="35"/>
      <c r="L62" s="35"/>
      <c r="M62" s="48"/>
      <c r="N62" s="48"/>
      <c r="O62" s="48"/>
      <c r="P62" s="48"/>
      <c r="Q62" s="48"/>
      <c r="R62" s="40"/>
      <c r="S62" s="40"/>
      <c r="T62" s="40"/>
      <c r="U62" s="40"/>
      <c r="V62" s="48"/>
      <c r="W62" s="48"/>
      <c r="X62" s="48"/>
      <c r="Y62" s="48">
        <v>3250</v>
      </c>
      <c r="Z62" s="48">
        <f>30*25</f>
        <v>750</v>
      </c>
      <c r="AA62" s="48"/>
      <c r="AB62" s="48"/>
      <c r="AC62" s="48"/>
      <c r="AD62" s="48"/>
      <c r="AE62" s="48"/>
      <c r="AF62" s="48"/>
      <c r="AG62" s="48"/>
      <c r="AH62" s="48"/>
      <c r="AI62" s="49"/>
    </row>
    <row r="63" spans="1:35" x14ac:dyDescent="0.25">
      <c r="A63" s="48">
        <v>9</v>
      </c>
      <c r="B63" s="166" t="s">
        <v>332</v>
      </c>
      <c r="C63" s="166" t="s">
        <v>331</v>
      </c>
      <c r="D63" s="138">
        <f t="shared" si="5"/>
        <v>1053496</v>
      </c>
      <c r="E63" s="48"/>
      <c r="F63" s="48"/>
      <c r="G63" s="35"/>
      <c r="H63" s="35"/>
      <c r="I63" s="35"/>
      <c r="J63" s="35">
        <v>16800</v>
      </c>
      <c r="K63" s="35">
        <f>3696+11256+440*42</f>
        <v>33432</v>
      </c>
      <c r="L63" s="35">
        <f>172*42+225*42+60*42+500*42+90*42+251*42</f>
        <v>54516</v>
      </c>
      <c r="M63" s="48">
        <f>515*42+551*42+530*42</f>
        <v>67032</v>
      </c>
      <c r="N63" s="48">
        <f>490*42+515*42</f>
        <v>42210</v>
      </c>
      <c r="O63" s="48">
        <f>530*42+10*42</f>
        <v>22680</v>
      </c>
      <c r="P63" s="48">
        <f>472*42+130*42</f>
        <v>25284</v>
      </c>
      <c r="Q63" s="48">
        <f>560*42+340*42</f>
        <v>37800</v>
      </c>
      <c r="R63" s="40"/>
      <c r="S63" s="40"/>
      <c r="T63" s="40"/>
      <c r="U63" s="40">
        <f>18060+190*42+475*42</f>
        <v>45990</v>
      </c>
      <c r="V63" s="48">
        <f>492*42+425*42-5762</f>
        <v>32752</v>
      </c>
      <c r="W63" s="48">
        <f>85*42+500*42</f>
        <v>24570</v>
      </c>
      <c r="X63" s="48">
        <f>492*42+510*42+260*42</f>
        <v>53004</v>
      </c>
      <c r="Y63" s="48">
        <f>490*42+570*42+510*42+71*42</f>
        <v>68922</v>
      </c>
      <c r="Z63" s="48">
        <f>560*42+520*42</f>
        <v>45360</v>
      </c>
      <c r="AA63" s="48">
        <f>195*42+140*42+525*42</f>
        <v>36120</v>
      </c>
      <c r="AB63" s="48">
        <v>12024</v>
      </c>
      <c r="AC63" s="48"/>
      <c r="AD63" s="48">
        <f>480*42+450*42+545*42</f>
        <v>61950</v>
      </c>
      <c r="AE63" s="48">
        <f>530*42+545*42+525*42+300*42</f>
        <v>79800</v>
      </c>
      <c r="AF63" s="48">
        <f>143*42+310*42</f>
        <v>19026</v>
      </c>
      <c r="AG63" s="48">
        <f>550*42+140*42+580*42+530*42</f>
        <v>75600</v>
      </c>
      <c r="AH63" s="48">
        <f>550*42+575*42+550*42+600*42</f>
        <v>95550</v>
      </c>
      <c r="AI63" s="49">
        <v>103074</v>
      </c>
    </row>
    <row r="64" spans="1:35" x14ac:dyDescent="0.25">
      <c r="A64" s="48">
        <v>10</v>
      </c>
      <c r="B64" s="166" t="s">
        <v>201</v>
      </c>
      <c r="C64" s="166" t="s">
        <v>200</v>
      </c>
      <c r="D64" s="138">
        <f t="shared" si="5"/>
        <v>5000</v>
      </c>
      <c r="E64" s="48"/>
      <c r="F64" s="48"/>
      <c r="G64" s="35"/>
      <c r="H64" s="35"/>
      <c r="I64" s="35"/>
      <c r="J64" s="35"/>
      <c r="K64" s="35">
        <v>3000</v>
      </c>
      <c r="L64" s="35"/>
      <c r="M64" s="48"/>
      <c r="N64" s="48"/>
      <c r="O64" s="48"/>
      <c r="P64" s="48"/>
      <c r="Q64" s="48"/>
      <c r="R64" s="40"/>
      <c r="S64" s="40"/>
      <c r="T64" s="40"/>
      <c r="U64" s="40"/>
      <c r="V64" s="48"/>
      <c r="W64" s="48"/>
      <c r="X64" s="48"/>
      <c r="Y64" s="48"/>
      <c r="Z64" s="48"/>
      <c r="AA64" s="48"/>
      <c r="AB64" s="48">
        <v>2000</v>
      </c>
      <c r="AC64" s="48"/>
      <c r="AD64" s="48"/>
      <c r="AE64" s="48"/>
      <c r="AF64" s="48"/>
      <c r="AG64" s="48"/>
      <c r="AH64" s="48"/>
      <c r="AI64" s="49"/>
    </row>
    <row r="65" spans="1:35" x14ac:dyDescent="0.25">
      <c r="A65" s="48">
        <v>11</v>
      </c>
      <c r="B65" s="166" t="s">
        <v>613</v>
      </c>
      <c r="C65" s="166" t="s">
        <v>611</v>
      </c>
      <c r="D65" s="138">
        <f t="shared" si="5"/>
        <v>4500</v>
      </c>
      <c r="E65" s="48"/>
      <c r="F65" s="48"/>
      <c r="G65" s="35"/>
      <c r="H65" s="35"/>
      <c r="I65" s="35"/>
      <c r="J65" s="35"/>
      <c r="K65" s="35">
        <v>3500</v>
      </c>
      <c r="L65" s="35"/>
      <c r="M65" s="48"/>
      <c r="N65" s="48"/>
      <c r="O65" s="48"/>
      <c r="P65" s="48"/>
      <c r="Q65" s="48"/>
      <c r="R65" s="40"/>
      <c r="S65" s="40"/>
      <c r="T65" s="40"/>
      <c r="U65" s="40"/>
      <c r="V65" s="48"/>
      <c r="W65" s="48"/>
      <c r="X65" s="48"/>
      <c r="Y65" s="48"/>
      <c r="Z65" s="48"/>
      <c r="AA65" s="48"/>
      <c r="AB65" s="48">
        <v>1000</v>
      </c>
      <c r="AC65" s="48"/>
      <c r="AD65" s="48"/>
      <c r="AE65" s="48"/>
      <c r="AF65" s="48"/>
      <c r="AG65" s="48"/>
      <c r="AH65" s="48"/>
      <c r="AI65" s="49"/>
    </row>
    <row r="66" spans="1:35" x14ac:dyDescent="0.25">
      <c r="A66" s="48">
        <v>12</v>
      </c>
      <c r="B66" s="166" t="s">
        <v>614</v>
      </c>
      <c r="C66" s="166" t="s">
        <v>612</v>
      </c>
      <c r="D66" s="138">
        <f t="shared" si="5"/>
        <v>3419</v>
      </c>
      <c r="E66" s="48"/>
      <c r="F66" s="48"/>
      <c r="G66" s="35"/>
      <c r="H66" s="35">
        <v>2319</v>
      </c>
      <c r="I66" s="35"/>
      <c r="J66" s="35">
        <v>1100</v>
      </c>
      <c r="K66" s="35"/>
      <c r="L66" s="35"/>
      <c r="M66" s="48"/>
      <c r="N66" s="48"/>
      <c r="O66" s="48"/>
      <c r="P66" s="48"/>
      <c r="Q66" s="48"/>
      <c r="R66" s="40"/>
      <c r="S66" s="40"/>
      <c r="T66" s="40"/>
      <c r="U66" s="40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9"/>
    </row>
    <row r="67" spans="1:35" x14ac:dyDescent="0.25">
      <c r="A67" s="48">
        <v>13</v>
      </c>
      <c r="B67" s="166" t="s">
        <v>429</v>
      </c>
      <c r="C67" s="166" t="s">
        <v>428</v>
      </c>
      <c r="D67" s="138">
        <f t="shared" si="5"/>
        <v>184950</v>
      </c>
      <c r="E67" s="48"/>
      <c r="F67" s="48"/>
      <c r="G67" s="35"/>
      <c r="H67" s="35"/>
      <c r="I67" s="35"/>
      <c r="J67" s="35">
        <f>100*42</f>
        <v>4200</v>
      </c>
      <c r="K67" s="35">
        <f>490*42+450*42</f>
        <v>39480</v>
      </c>
      <c r="L67" s="35">
        <f>149*42+62</f>
        <v>6320</v>
      </c>
      <c r="M67" s="48"/>
      <c r="N67" s="48"/>
      <c r="O67" s="48"/>
      <c r="P67" s="48"/>
      <c r="Q67" s="48">
        <f>410*42+2730</f>
        <v>19950</v>
      </c>
      <c r="R67" s="40"/>
      <c r="S67" s="40"/>
      <c r="T67" s="40"/>
      <c r="U67" s="40">
        <f>400*42+60*42</f>
        <v>19320</v>
      </c>
      <c r="V67" s="48">
        <f>174*42+1732</f>
        <v>9040</v>
      </c>
      <c r="W67" s="48"/>
      <c r="X67" s="48"/>
      <c r="Y67" s="48"/>
      <c r="Z67" s="48">
        <f>30*42+455*42</f>
        <v>20370</v>
      </c>
      <c r="AA67" s="48">
        <f>129*42+42</f>
        <v>5460</v>
      </c>
      <c r="AB67" s="48"/>
      <c r="AC67" s="48">
        <f>350*42+4646</f>
        <v>19346</v>
      </c>
      <c r="AD67" s="48">
        <v>1514</v>
      </c>
      <c r="AE67" s="48"/>
      <c r="AF67" s="48">
        <f>45*42+400*42</f>
        <v>18690</v>
      </c>
      <c r="AG67" s="48">
        <f>270*42</f>
        <v>11340</v>
      </c>
      <c r="AH67" s="48"/>
      <c r="AI67" s="49">
        <v>9920</v>
      </c>
    </row>
    <row r="68" spans="1:35" x14ac:dyDescent="0.25">
      <c r="A68" s="48">
        <v>14</v>
      </c>
      <c r="B68" s="166" t="s">
        <v>994</v>
      </c>
      <c r="C68" s="166" t="s">
        <v>993</v>
      </c>
      <c r="D68" s="138">
        <f t="shared" si="5"/>
        <v>6000</v>
      </c>
      <c r="E68" s="48"/>
      <c r="F68" s="48"/>
      <c r="G68" s="35"/>
      <c r="H68" s="35"/>
      <c r="I68" s="35"/>
      <c r="J68" s="35">
        <f>22*42</f>
        <v>924</v>
      </c>
      <c r="K68" s="35">
        <v>76</v>
      </c>
      <c r="L68" s="35"/>
      <c r="M68" s="48"/>
      <c r="N68" s="48"/>
      <c r="O68" s="48"/>
      <c r="P68" s="48"/>
      <c r="Q68" s="48"/>
      <c r="R68" s="40"/>
      <c r="S68" s="40"/>
      <c r="T68" s="40"/>
      <c r="U68" s="40"/>
      <c r="V68" s="48"/>
      <c r="W68" s="48"/>
      <c r="X68" s="48"/>
      <c r="Y68" s="48"/>
      <c r="Z68" s="48">
        <f>60*42</f>
        <v>2520</v>
      </c>
      <c r="AA68" s="48">
        <v>2480</v>
      </c>
      <c r="AB68" s="48"/>
      <c r="AC68" s="48"/>
      <c r="AD68" s="48"/>
      <c r="AE68" s="48"/>
      <c r="AF68" s="48"/>
      <c r="AG68" s="48"/>
      <c r="AH68" s="48"/>
      <c r="AI68" s="49"/>
    </row>
    <row r="69" spans="1:35" x14ac:dyDescent="0.25">
      <c r="A69" s="48">
        <v>15</v>
      </c>
      <c r="B69" s="166" t="s">
        <v>831</v>
      </c>
      <c r="C69" s="166" t="s">
        <v>829</v>
      </c>
      <c r="D69" s="138">
        <f t="shared" si="5"/>
        <v>4000</v>
      </c>
      <c r="E69" s="48"/>
      <c r="F69" s="48"/>
      <c r="G69" s="35"/>
      <c r="H69" s="35"/>
      <c r="I69" s="35"/>
      <c r="J69" s="35"/>
      <c r="K69" s="35"/>
      <c r="L69" s="35"/>
      <c r="M69" s="48"/>
      <c r="N69" s="48"/>
      <c r="O69" s="48">
        <v>4000</v>
      </c>
      <c r="P69" s="48"/>
      <c r="Q69" s="48"/>
      <c r="R69" s="40"/>
      <c r="S69" s="40"/>
      <c r="T69" s="40"/>
      <c r="U69" s="40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9"/>
    </row>
    <row r="70" spans="1:35" x14ac:dyDescent="0.25">
      <c r="A70" s="48">
        <v>16</v>
      </c>
      <c r="B70" s="166" t="s">
        <v>832</v>
      </c>
      <c r="C70" s="166" t="s">
        <v>830</v>
      </c>
      <c r="D70" s="138">
        <f t="shared" si="5"/>
        <v>1000</v>
      </c>
      <c r="E70" s="48"/>
      <c r="F70" s="48"/>
      <c r="G70" s="35"/>
      <c r="H70" s="35"/>
      <c r="I70" s="35"/>
      <c r="J70" s="35"/>
      <c r="K70" s="35"/>
      <c r="L70" s="35"/>
      <c r="M70" s="48"/>
      <c r="N70" s="48"/>
      <c r="O70" s="48">
        <v>1000</v>
      </c>
      <c r="P70" s="48"/>
      <c r="Q70" s="48"/>
      <c r="R70" s="40"/>
      <c r="S70" s="40"/>
      <c r="T70" s="40"/>
      <c r="U70" s="40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9"/>
    </row>
    <row r="71" spans="1:35" x14ac:dyDescent="0.25">
      <c r="A71" s="48">
        <v>17</v>
      </c>
      <c r="B71" s="166" t="s">
        <v>522</v>
      </c>
      <c r="C71" s="166" t="s">
        <v>521</v>
      </c>
      <c r="D71" s="138">
        <f t="shared" si="5"/>
        <v>1400</v>
      </c>
      <c r="E71" s="48"/>
      <c r="F71" s="48"/>
      <c r="G71" s="35"/>
      <c r="H71" s="35"/>
      <c r="I71" s="35"/>
      <c r="J71" s="35"/>
      <c r="K71" s="35"/>
      <c r="L71" s="35"/>
      <c r="M71" s="48"/>
      <c r="N71" s="48"/>
      <c r="O71" s="48"/>
      <c r="P71" s="48"/>
      <c r="Q71" s="48"/>
      <c r="R71" s="40"/>
      <c r="S71" s="40"/>
      <c r="T71" s="40"/>
      <c r="U71" s="40"/>
      <c r="V71" s="48"/>
      <c r="W71" s="48"/>
      <c r="X71" s="48"/>
      <c r="Y71" s="48"/>
      <c r="Z71" s="48"/>
      <c r="AA71" s="48"/>
      <c r="AB71" s="48"/>
      <c r="AC71" s="48">
        <f>25*25</f>
        <v>625</v>
      </c>
      <c r="AD71" s="48">
        <v>775</v>
      </c>
      <c r="AE71" s="48"/>
      <c r="AF71" s="48"/>
      <c r="AG71" s="48"/>
      <c r="AH71" s="48"/>
      <c r="AI71" s="49"/>
    </row>
    <row r="72" spans="1:35" x14ac:dyDescent="0.25">
      <c r="A72" s="48">
        <v>18</v>
      </c>
      <c r="B72" s="166" t="s">
        <v>524</v>
      </c>
      <c r="C72" s="166" t="s">
        <v>523</v>
      </c>
      <c r="D72" s="138">
        <f t="shared" si="5"/>
        <v>10000</v>
      </c>
      <c r="E72" s="48"/>
      <c r="F72" s="48"/>
      <c r="G72" s="35"/>
      <c r="H72" s="35"/>
      <c r="I72" s="35"/>
      <c r="J72" s="35"/>
      <c r="K72" s="35"/>
      <c r="L72" s="35"/>
      <c r="M72" s="48"/>
      <c r="N72" s="48"/>
      <c r="O72" s="48"/>
      <c r="P72" s="48"/>
      <c r="Q72" s="48"/>
      <c r="R72" s="40"/>
      <c r="S72" s="40"/>
      <c r="T72" s="40"/>
      <c r="U72" s="40"/>
      <c r="V72" s="48"/>
      <c r="W72" s="48"/>
      <c r="X72" s="48"/>
      <c r="Y72" s="48">
        <v>10000</v>
      </c>
      <c r="Z72" s="48"/>
      <c r="AA72" s="48"/>
      <c r="AB72" s="48"/>
      <c r="AC72" s="48"/>
      <c r="AD72" s="48"/>
      <c r="AE72" s="48"/>
      <c r="AF72" s="48"/>
      <c r="AG72" s="48"/>
      <c r="AH72" s="48"/>
      <c r="AI72" s="49"/>
    </row>
    <row r="73" spans="1:35" x14ac:dyDescent="0.25">
      <c r="A73" s="48">
        <v>19</v>
      </c>
      <c r="B73" s="166" t="s">
        <v>533</v>
      </c>
      <c r="C73" s="166" t="s">
        <v>532</v>
      </c>
      <c r="D73" s="138">
        <f t="shared" si="5"/>
        <v>0</v>
      </c>
      <c r="E73" s="48"/>
      <c r="F73" s="48"/>
      <c r="G73" s="35"/>
      <c r="H73" s="35"/>
      <c r="I73" s="35"/>
      <c r="J73" s="35"/>
      <c r="K73" s="35"/>
      <c r="L73" s="35"/>
      <c r="M73" s="48"/>
      <c r="N73" s="48"/>
      <c r="O73" s="48"/>
      <c r="P73" s="48"/>
      <c r="Q73" s="48"/>
      <c r="R73" s="40"/>
      <c r="S73" s="40"/>
      <c r="T73" s="40"/>
      <c r="U73" s="40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9"/>
    </row>
    <row r="74" spans="1:35" x14ac:dyDescent="0.25">
      <c r="A74" s="48">
        <v>20</v>
      </c>
      <c r="B74" s="166" t="s">
        <v>738</v>
      </c>
      <c r="C74" s="166" t="s">
        <v>737</v>
      </c>
      <c r="D74" s="138">
        <f t="shared" si="5"/>
        <v>6000</v>
      </c>
      <c r="E74" s="48"/>
      <c r="F74" s="48"/>
      <c r="G74" s="35"/>
      <c r="H74" s="35"/>
      <c r="I74" s="35"/>
      <c r="J74" s="35"/>
      <c r="K74" s="35"/>
      <c r="L74" s="35"/>
      <c r="M74" s="48"/>
      <c r="N74" s="48"/>
      <c r="O74" s="48"/>
      <c r="P74" s="48"/>
      <c r="Q74" s="48"/>
      <c r="R74" s="40"/>
      <c r="S74" s="40"/>
      <c r="T74" s="40"/>
      <c r="U74" s="40"/>
      <c r="V74" s="48"/>
      <c r="W74" s="48"/>
      <c r="X74" s="48"/>
      <c r="Y74" s="48"/>
      <c r="Z74" s="48"/>
      <c r="AA74" s="48">
        <f>25*42+4950</f>
        <v>6000</v>
      </c>
      <c r="AB74" s="48"/>
      <c r="AC74" s="48"/>
      <c r="AD74" s="48"/>
      <c r="AE74" s="48"/>
      <c r="AF74" s="48"/>
      <c r="AG74" s="48"/>
      <c r="AH74" s="48"/>
      <c r="AI74" s="49"/>
    </row>
    <row r="75" spans="1:35" x14ac:dyDescent="0.25">
      <c r="A75" s="48">
        <v>21</v>
      </c>
      <c r="B75" s="166" t="s">
        <v>246</v>
      </c>
      <c r="C75" s="166" t="s">
        <v>245</v>
      </c>
      <c r="D75" s="138">
        <f t="shared" si="5"/>
        <v>20000</v>
      </c>
      <c r="E75" s="48"/>
      <c r="F75" s="48"/>
      <c r="G75" s="35"/>
      <c r="H75" s="35"/>
      <c r="I75" s="35"/>
      <c r="J75" s="35"/>
      <c r="K75" s="35">
        <f>22*25+195*25-2525</f>
        <v>2900</v>
      </c>
      <c r="L75" s="35">
        <f>284*25</f>
        <v>7100</v>
      </c>
      <c r="M75" s="48"/>
      <c r="N75" s="48"/>
      <c r="O75" s="48"/>
      <c r="P75" s="48"/>
      <c r="Q75" s="48"/>
      <c r="R75" s="40"/>
      <c r="S75" s="40"/>
      <c r="T75" s="40"/>
      <c r="U75" s="40"/>
      <c r="V75" s="48"/>
      <c r="W75" s="48"/>
      <c r="X75" s="48"/>
      <c r="Y75" s="48"/>
      <c r="Z75" s="48"/>
      <c r="AA75" s="48"/>
      <c r="AB75" s="48"/>
      <c r="AC75" s="48"/>
      <c r="AD75" s="48"/>
      <c r="AE75" s="48">
        <f>130*25+185*25</f>
        <v>7875</v>
      </c>
      <c r="AF75" s="48">
        <v>2125</v>
      </c>
      <c r="AG75" s="48"/>
      <c r="AH75" s="48"/>
      <c r="AI75" s="49"/>
    </row>
    <row r="76" spans="1:35" x14ac:dyDescent="0.25">
      <c r="A76" s="48">
        <v>22</v>
      </c>
      <c r="B76" s="166" t="s">
        <v>750</v>
      </c>
      <c r="C76" s="166" t="s">
        <v>749</v>
      </c>
      <c r="D76" s="138">
        <f t="shared" si="5"/>
        <v>0</v>
      </c>
      <c r="E76" s="48"/>
      <c r="F76" s="48"/>
      <c r="G76" s="35"/>
      <c r="H76" s="35"/>
      <c r="I76" s="35"/>
      <c r="J76" s="35"/>
      <c r="K76" s="35"/>
      <c r="L76" s="35"/>
      <c r="M76" s="48"/>
      <c r="N76" s="48"/>
      <c r="O76" s="48"/>
      <c r="P76" s="48"/>
      <c r="Q76" s="48"/>
      <c r="R76" s="40"/>
      <c r="S76" s="40"/>
      <c r="T76" s="40"/>
      <c r="U76" s="40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9"/>
    </row>
    <row r="77" spans="1:35" x14ac:dyDescent="0.25">
      <c r="A77" s="48">
        <v>23</v>
      </c>
      <c r="B77" s="166" t="s">
        <v>312</v>
      </c>
      <c r="C77" s="166" t="s">
        <v>311</v>
      </c>
      <c r="D77" s="138">
        <f t="shared" si="5"/>
        <v>10500</v>
      </c>
      <c r="E77" s="48"/>
      <c r="F77" s="48"/>
      <c r="G77" s="35"/>
      <c r="H77" s="35"/>
      <c r="I77" s="35"/>
      <c r="J77" s="35"/>
      <c r="K77" s="35"/>
      <c r="L77" s="35"/>
      <c r="M77" s="48"/>
      <c r="N77" s="48"/>
      <c r="O77" s="48"/>
      <c r="P77" s="48"/>
      <c r="Q77" s="48"/>
      <c r="R77" s="40"/>
      <c r="S77" s="40"/>
      <c r="T77" s="40"/>
      <c r="U77" s="40"/>
      <c r="V77" s="48">
        <f>137*40+20</f>
        <v>5500</v>
      </c>
      <c r="W77" s="48"/>
      <c r="X77" s="48"/>
      <c r="Y77" s="48"/>
      <c r="Z77" s="48"/>
      <c r="AA77" s="48"/>
      <c r="AB77" s="48"/>
      <c r="AC77" s="48"/>
      <c r="AD77" s="48">
        <f>125*40</f>
        <v>5000</v>
      </c>
      <c r="AE77" s="48"/>
      <c r="AF77" s="48"/>
      <c r="AG77" s="48"/>
      <c r="AH77" s="48"/>
      <c r="AI77" s="49"/>
    </row>
    <row r="78" spans="1:35" x14ac:dyDescent="0.25">
      <c r="A78" s="48">
        <v>24</v>
      </c>
      <c r="B78" s="166" t="s">
        <v>169</v>
      </c>
      <c r="C78" s="166" t="s">
        <v>168</v>
      </c>
      <c r="D78" s="138">
        <f t="shared" si="5"/>
        <v>10000</v>
      </c>
      <c r="E78" s="48"/>
      <c r="F78" s="48"/>
      <c r="G78" s="35"/>
      <c r="H78" s="35"/>
      <c r="I78" s="35"/>
      <c r="J78" s="35"/>
      <c r="K78" s="35"/>
      <c r="L78" s="35"/>
      <c r="M78" s="48"/>
      <c r="N78" s="48"/>
      <c r="O78" s="48">
        <f>335*18</f>
        <v>6030</v>
      </c>
      <c r="P78" s="48">
        <v>2970</v>
      </c>
      <c r="Q78" s="48"/>
      <c r="R78" s="40"/>
      <c r="S78" s="40"/>
      <c r="T78" s="40"/>
      <c r="U78" s="40">
        <v>1000</v>
      </c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9"/>
    </row>
    <row r="79" spans="1:35" x14ac:dyDescent="0.25">
      <c r="A79" s="48">
        <v>25</v>
      </c>
      <c r="B79" s="166" t="s">
        <v>324</v>
      </c>
      <c r="C79" s="166" t="s">
        <v>323</v>
      </c>
      <c r="D79" s="138">
        <f t="shared" si="5"/>
        <v>39500</v>
      </c>
      <c r="E79" s="48"/>
      <c r="F79" s="48"/>
      <c r="G79" s="35"/>
      <c r="H79" s="35"/>
      <c r="I79" s="35"/>
      <c r="J79" s="35"/>
      <c r="K79" s="35"/>
      <c r="L79" s="35"/>
      <c r="M79" s="48"/>
      <c r="N79" s="48"/>
      <c r="O79" s="48"/>
      <c r="P79" s="48">
        <f>155*42</f>
        <v>6510</v>
      </c>
      <c r="Q79" s="137">
        <v>3486</v>
      </c>
      <c r="R79" s="40"/>
      <c r="S79" s="40"/>
      <c r="T79" s="40"/>
      <c r="U79" s="40">
        <v>4</v>
      </c>
      <c r="V79" s="48"/>
      <c r="W79" s="48">
        <f>274*42-8</f>
        <v>11500</v>
      </c>
      <c r="X79" s="48"/>
      <c r="Y79" s="48"/>
      <c r="Z79" s="48"/>
      <c r="AA79" s="48"/>
      <c r="AB79" s="48"/>
      <c r="AC79" s="48"/>
      <c r="AD79" s="137"/>
      <c r="AE79" s="48"/>
      <c r="AF79" s="48"/>
      <c r="AG79" s="48"/>
      <c r="AH79" s="48">
        <f>160*42+120*42</f>
        <v>11760</v>
      </c>
      <c r="AI79" s="49">
        <v>6240</v>
      </c>
    </row>
    <row r="80" spans="1:35" x14ac:dyDescent="0.25">
      <c r="A80" s="48">
        <v>26</v>
      </c>
      <c r="B80" s="166" t="s">
        <v>508</v>
      </c>
      <c r="C80" s="166" t="s">
        <v>507</v>
      </c>
      <c r="D80" s="138">
        <f t="shared" si="5"/>
        <v>0</v>
      </c>
      <c r="E80" s="48"/>
      <c r="F80" s="48"/>
      <c r="G80" s="35"/>
      <c r="H80" s="35"/>
      <c r="I80" s="35"/>
      <c r="J80" s="35"/>
      <c r="K80" s="35"/>
      <c r="L80" s="35"/>
      <c r="M80" s="48"/>
      <c r="N80" s="48"/>
      <c r="O80" s="48"/>
      <c r="P80" s="48"/>
      <c r="Q80" s="48"/>
      <c r="R80" s="40"/>
      <c r="S80" s="40"/>
      <c r="T80" s="40"/>
      <c r="U80" s="40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9"/>
    </row>
    <row r="81" spans="1:35" x14ac:dyDescent="0.25">
      <c r="A81" s="48">
        <v>27</v>
      </c>
      <c r="B81" s="166" t="s">
        <v>250</v>
      </c>
      <c r="C81" s="166" t="s">
        <v>249</v>
      </c>
      <c r="D81" s="138">
        <f t="shared" si="5"/>
        <v>0</v>
      </c>
      <c r="E81" s="48"/>
      <c r="F81" s="48"/>
      <c r="G81" s="35"/>
      <c r="H81" s="35"/>
      <c r="I81" s="35"/>
      <c r="J81" s="35"/>
      <c r="K81" s="35"/>
      <c r="L81" s="35"/>
      <c r="M81" s="48"/>
      <c r="N81" s="48"/>
      <c r="O81" s="48"/>
      <c r="P81" s="48"/>
      <c r="Q81" s="48"/>
      <c r="R81" s="40"/>
      <c r="S81" s="40"/>
      <c r="T81" s="40"/>
      <c r="U81" s="40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9"/>
    </row>
    <row r="82" spans="1:35" x14ac:dyDescent="0.25">
      <c r="A82" s="48">
        <v>28</v>
      </c>
      <c r="B82" s="166" t="s">
        <v>479</v>
      </c>
      <c r="C82" s="166" t="s">
        <v>478</v>
      </c>
      <c r="D82" s="138">
        <f t="shared" si="5"/>
        <v>50000</v>
      </c>
      <c r="E82" s="48"/>
      <c r="F82" s="48"/>
      <c r="G82" s="35"/>
      <c r="H82" s="35"/>
      <c r="I82" s="35"/>
      <c r="J82" s="35"/>
      <c r="K82" s="35"/>
      <c r="L82" s="35"/>
      <c r="M82" s="48"/>
      <c r="N82" s="48"/>
      <c r="O82" s="48"/>
      <c r="P82" s="48"/>
      <c r="Q82" s="48">
        <v>3780</v>
      </c>
      <c r="R82" s="40"/>
      <c r="S82" s="40"/>
      <c r="T82" s="40"/>
      <c r="U82" s="40">
        <v>6220</v>
      </c>
      <c r="V82" s="48"/>
      <c r="W82" s="48"/>
      <c r="X82" s="48"/>
      <c r="Y82" s="48"/>
      <c r="Z82" s="48"/>
      <c r="AA82" s="48">
        <f>120*42+339*42</f>
        <v>19278</v>
      </c>
      <c r="AB82" s="48">
        <f>126*42</f>
        <v>5292</v>
      </c>
      <c r="AC82" s="48">
        <f>65*42+12700</f>
        <v>15430</v>
      </c>
      <c r="AD82" s="48"/>
      <c r="AE82" s="48"/>
      <c r="AF82" s="48"/>
      <c r="AG82" s="48"/>
      <c r="AH82" s="48"/>
      <c r="AI82" s="49"/>
    </row>
    <row r="83" spans="1:35" x14ac:dyDescent="0.25">
      <c r="A83" s="48">
        <v>29</v>
      </c>
      <c r="B83" s="166" t="s">
        <v>480</v>
      </c>
      <c r="C83" s="166" t="s">
        <v>481</v>
      </c>
      <c r="D83" s="138">
        <f t="shared" si="5"/>
        <v>0</v>
      </c>
      <c r="E83" s="48"/>
      <c r="F83" s="48"/>
      <c r="G83" s="35"/>
      <c r="H83" s="35"/>
      <c r="I83" s="35"/>
      <c r="J83" s="35"/>
      <c r="K83" s="35"/>
      <c r="L83" s="35"/>
      <c r="M83" s="48"/>
      <c r="N83" s="48"/>
      <c r="O83" s="48"/>
      <c r="P83" s="48"/>
      <c r="Q83" s="48"/>
      <c r="R83" s="40"/>
      <c r="S83" s="40"/>
      <c r="T83" s="40"/>
      <c r="U83" s="40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9"/>
    </row>
    <row r="84" spans="1:35" x14ac:dyDescent="0.25">
      <c r="A84" s="48">
        <v>30</v>
      </c>
      <c r="B84" s="166" t="s">
        <v>242</v>
      </c>
      <c r="C84" s="166" t="s">
        <v>241</v>
      </c>
      <c r="D84" s="138">
        <f t="shared" si="5"/>
        <v>69939</v>
      </c>
      <c r="E84" s="48"/>
      <c r="F84" s="48"/>
      <c r="G84" s="35"/>
      <c r="H84" s="35"/>
      <c r="I84" s="35"/>
      <c r="J84" s="35"/>
      <c r="K84" s="35"/>
      <c r="L84" s="35"/>
      <c r="M84" s="48"/>
      <c r="N84" s="48">
        <f>465*42</f>
        <v>19530</v>
      </c>
      <c r="O84" s="48">
        <v>470</v>
      </c>
      <c r="P84" s="48"/>
      <c r="Q84" s="48"/>
      <c r="R84" s="40"/>
      <c r="S84" s="40"/>
      <c r="T84" s="40"/>
      <c r="U84" s="40"/>
      <c r="V84" s="48">
        <f>220*18</f>
        <v>3960</v>
      </c>
      <c r="W84" s="48">
        <f>27*18</f>
        <v>486</v>
      </c>
      <c r="X84" s="48">
        <f>415*18+141*18-14</f>
        <v>9994</v>
      </c>
      <c r="Y84" s="48"/>
      <c r="Z84" s="48"/>
      <c r="AA84" s="48">
        <f>7*18</f>
        <v>126</v>
      </c>
      <c r="AB84" s="48">
        <f>560*18+232*18</f>
        <v>14256</v>
      </c>
      <c r="AC84" s="48"/>
      <c r="AD84" s="48"/>
      <c r="AE84" s="48"/>
      <c r="AF84" s="48"/>
      <c r="AG84" s="48">
        <f>360+425*18</f>
        <v>8010</v>
      </c>
      <c r="AH84" s="48">
        <f>222*18+455*18+422</f>
        <v>12608</v>
      </c>
      <c r="AI84" s="49">
        <v>499</v>
      </c>
    </row>
    <row r="85" spans="1:35" x14ac:dyDescent="0.25">
      <c r="A85" s="48">
        <v>31</v>
      </c>
      <c r="B85" s="166" t="s">
        <v>376</v>
      </c>
      <c r="C85" s="166" t="s">
        <v>375</v>
      </c>
      <c r="D85" s="138">
        <f t="shared" si="5"/>
        <v>0</v>
      </c>
      <c r="E85" s="48"/>
      <c r="F85" s="48"/>
      <c r="G85" s="35"/>
      <c r="H85" s="35"/>
      <c r="I85" s="35"/>
      <c r="J85" s="35"/>
      <c r="K85" s="35"/>
      <c r="L85" s="35"/>
      <c r="M85" s="48"/>
      <c r="N85" s="48"/>
      <c r="O85" s="48"/>
      <c r="P85" s="48"/>
      <c r="Q85" s="48"/>
      <c r="R85" s="40"/>
      <c r="S85" s="40"/>
      <c r="T85" s="40"/>
      <c r="U85" s="40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9"/>
    </row>
    <row r="86" spans="1:35" x14ac:dyDescent="0.25">
      <c r="A86" s="48">
        <v>32</v>
      </c>
      <c r="B86" s="166" t="s">
        <v>98</v>
      </c>
      <c r="C86" s="166" t="s">
        <v>99</v>
      </c>
      <c r="D86" s="138">
        <f t="shared" si="5"/>
        <v>0</v>
      </c>
      <c r="E86" s="48"/>
      <c r="F86" s="48"/>
      <c r="G86" s="35"/>
      <c r="H86" s="35"/>
      <c r="I86" s="35"/>
      <c r="J86" s="35"/>
      <c r="K86" s="35"/>
      <c r="L86" s="35"/>
      <c r="M86" s="48"/>
      <c r="N86" s="48"/>
      <c r="O86" s="48"/>
      <c r="P86" s="48"/>
      <c r="Q86" s="48"/>
      <c r="R86" s="40"/>
      <c r="S86" s="40"/>
      <c r="T86" s="40"/>
      <c r="U86" s="40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9"/>
    </row>
    <row r="87" spans="1:35" x14ac:dyDescent="0.25">
      <c r="A87" s="48">
        <v>33</v>
      </c>
      <c r="B87" s="166" t="s">
        <v>100</v>
      </c>
      <c r="C87" s="166" t="s">
        <v>101</v>
      </c>
      <c r="D87" s="138">
        <f t="shared" si="5"/>
        <v>0</v>
      </c>
      <c r="E87" s="48"/>
      <c r="F87" s="48"/>
      <c r="G87" s="35"/>
      <c r="H87" s="35"/>
      <c r="I87" s="35"/>
      <c r="J87" s="35"/>
      <c r="K87" s="35"/>
      <c r="L87" s="35"/>
      <c r="M87" s="48"/>
      <c r="N87" s="48"/>
      <c r="O87" s="48"/>
      <c r="P87" s="48"/>
      <c r="Q87" s="48"/>
      <c r="R87" s="40"/>
      <c r="S87" s="40"/>
      <c r="T87" s="40"/>
      <c r="U87" s="40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9"/>
    </row>
    <row r="88" spans="1:35" x14ac:dyDescent="0.25">
      <c r="A88" s="48">
        <v>34</v>
      </c>
      <c r="B88" s="166" t="s">
        <v>146</v>
      </c>
      <c r="C88" s="166" t="s">
        <v>93</v>
      </c>
      <c r="D88" s="138">
        <f t="shared" si="5"/>
        <v>19000</v>
      </c>
      <c r="E88" s="48"/>
      <c r="F88" s="48"/>
      <c r="G88" s="35"/>
      <c r="H88" s="35"/>
      <c r="I88" s="35"/>
      <c r="J88" s="35"/>
      <c r="K88" s="35"/>
      <c r="L88" s="35"/>
      <c r="M88" s="48"/>
      <c r="N88" s="48"/>
      <c r="O88" s="48">
        <v>8000</v>
      </c>
      <c r="P88" s="48"/>
      <c r="Q88" s="48"/>
      <c r="R88" s="40"/>
      <c r="S88" s="40"/>
      <c r="T88" s="40"/>
      <c r="U88" s="40"/>
      <c r="V88" s="48">
        <v>6000</v>
      </c>
      <c r="W88" s="48"/>
      <c r="X88" s="48"/>
      <c r="Y88" s="48">
        <f>108*39</f>
        <v>4212</v>
      </c>
      <c r="Z88" s="48">
        <v>788</v>
      </c>
      <c r="AA88" s="48"/>
      <c r="AB88" s="48"/>
      <c r="AC88" s="48"/>
      <c r="AD88" s="48"/>
      <c r="AE88" s="48"/>
      <c r="AF88" s="48"/>
      <c r="AG88" s="48"/>
      <c r="AH88" s="48"/>
      <c r="AI88" s="49"/>
    </row>
    <row r="89" spans="1:35" x14ac:dyDescent="0.25">
      <c r="A89" s="48">
        <v>35</v>
      </c>
      <c r="B89" s="166" t="s">
        <v>177</v>
      </c>
      <c r="C89" s="166" t="s">
        <v>176</v>
      </c>
      <c r="D89" s="138">
        <f t="shared" si="5"/>
        <v>37000</v>
      </c>
      <c r="E89" s="48"/>
      <c r="F89" s="48"/>
      <c r="G89" s="35"/>
      <c r="H89" s="35"/>
      <c r="I89" s="35"/>
      <c r="J89" s="35"/>
      <c r="K89" s="35"/>
      <c r="L89" s="35"/>
      <c r="M89" s="48"/>
      <c r="N89" s="48"/>
      <c r="O89" s="48"/>
      <c r="P89" s="48"/>
      <c r="Q89" s="137"/>
      <c r="R89" s="40"/>
      <c r="S89" s="40"/>
      <c r="T89" s="40"/>
      <c r="U89" s="40"/>
      <c r="V89" s="48">
        <f>110*40+186*40</f>
        <v>11840</v>
      </c>
      <c r="W89" s="48"/>
      <c r="X89" s="48"/>
      <c r="Y89" s="48"/>
      <c r="Z89" s="48"/>
      <c r="AA89" s="48"/>
      <c r="AB89" s="48"/>
      <c r="AC89" s="48"/>
      <c r="AD89" s="137">
        <f>322*40</f>
        <v>12880</v>
      </c>
      <c r="AE89" s="48">
        <f>55*40</f>
        <v>2200</v>
      </c>
      <c r="AF89" s="48"/>
      <c r="AG89" s="48">
        <f>200*40</f>
        <v>8000</v>
      </c>
      <c r="AH89" s="48">
        <v>2080</v>
      </c>
      <c r="AI89" s="49"/>
    </row>
    <row r="90" spans="1:35" ht="15.75" x14ac:dyDescent="0.25">
      <c r="A90" s="48">
        <v>36</v>
      </c>
      <c r="B90" s="166" t="s">
        <v>463</v>
      </c>
      <c r="C90" s="155" t="s">
        <v>462</v>
      </c>
      <c r="D90" s="138">
        <f t="shared" si="5"/>
        <v>0</v>
      </c>
      <c r="E90" s="48"/>
      <c r="F90" s="48"/>
      <c r="G90" s="35"/>
      <c r="H90" s="35"/>
      <c r="I90" s="35"/>
      <c r="J90" s="35"/>
      <c r="K90" s="35"/>
      <c r="L90" s="35"/>
      <c r="M90" s="48"/>
      <c r="N90" s="48"/>
      <c r="O90" s="48"/>
      <c r="P90" s="48"/>
      <c r="Q90" s="48"/>
      <c r="R90" s="40"/>
      <c r="S90" s="40"/>
      <c r="T90" s="40"/>
      <c r="U90" s="40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9"/>
    </row>
    <row r="91" spans="1:35" x14ac:dyDescent="0.25">
      <c r="A91" s="48">
        <v>37</v>
      </c>
      <c r="B91" s="166" t="s">
        <v>254</v>
      </c>
      <c r="C91" s="166" t="s">
        <v>253</v>
      </c>
      <c r="D91" s="138">
        <f t="shared" si="5"/>
        <v>0</v>
      </c>
      <c r="E91" s="48"/>
      <c r="F91" s="48"/>
      <c r="G91" s="35"/>
      <c r="H91" s="35"/>
      <c r="I91" s="35"/>
      <c r="J91" s="35"/>
      <c r="K91" s="35"/>
      <c r="L91" s="35"/>
      <c r="M91" s="48"/>
      <c r="N91" s="48"/>
      <c r="O91" s="48"/>
      <c r="P91" s="48"/>
      <c r="Q91" s="48"/>
      <c r="R91" s="40"/>
      <c r="S91" s="40"/>
      <c r="T91" s="40"/>
      <c r="U91" s="40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9"/>
    </row>
    <row r="92" spans="1:35" x14ac:dyDescent="0.25">
      <c r="A92" s="48">
        <v>38</v>
      </c>
      <c r="B92" s="166" t="s">
        <v>238</v>
      </c>
      <c r="C92" s="166" t="s">
        <v>237</v>
      </c>
      <c r="D92" s="138">
        <f t="shared" si="5"/>
        <v>10000</v>
      </c>
      <c r="E92" s="48"/>
      <c r="F92" s="48"/>
      <c r="G92" s="35"/>
      <c r="H92" s="35"/>
      <c r="I92" s="35"/>
      <c r="J92" s="35"/>
      <c r="K92" s="35"/>
      <c r="L92" s="35"/>
      <c r="M92" s="48"/>
      <c r="N92" s="48"/>
      <c r="O92" s="48"/>
      <c r="P92" s="48"/>
      <c r="Q92" s="48"/>
      <c r="R92" s="40"/>
      <c r="S92" s="40"/>
      <c r="T92" s="40"/>
      <c r="U92" s="40"/>
      <c r="V92" s="48"/>
      <c r="W92" s="48"/>
      <c r="X92" s="48">
        <f>80*25+164*25</f>
        <v>6100</v>
      </c>
      <c r="Y92" s="48">
        <f>156*25</f>
        <v>3900</v>
      </c>
      <c r="Z92" s="48"/>
      <c r="AA92" s="48"/>
      <c r="AB92" s="48"/>
      <c r="AC92" s="48"/>
      <c r="AD92" s="48"/>
      <c r="AE92" s="48"/>
      <c r="AF92" s="48"/>
      <c r="AG92" s="48"/>
      <c r="AH92" s="48"/>
      <c r="AI92" s="49"/>
    </row>
    <row r="93" spans="1:35" x14ac:dyDescent="0.25">
      <c r="A93" s="48">
        <v>39</v>
      </c>
      <c r="B93" s="166" t="s">
        <v>197</v>
      </c>
      <c r="C93" s="166" t="s">
        <v>196</v>
      </c>
      <c r="D93" s="138">
        <f t="shared" si="5"/>
        <v>27000</v>
      </c>
      <c r="E93" s="48"/>
      <c r="F93" s="48"/>
      <c r="G93" s="35"/>
      <c r="H93" s="35"/>
      <c r="I93" s="35"/>
      <c r="J93" s="35">
        <f>160*42</f>
        <v>6720</v>
      </c>
      <c r="K93" s="35">
        <v>280</v>
      </c>
      <c r="L93" s="35"/>
      <c r="M93" s="48"/>
      <c r="N93" s="48"/>
      <c r="O93" s="48"/>
      <c r="P93" s="48"/>
      <c r="Q93" s="48"/>
      <c r="R93" s="40"/>
      <c r="S93" s="40"/>
      <c r="T93" s="40"/>
      <c r="U93" s="40"/>
      <c r="V93" s="48"/>
      <c r="W93" s="48">
        <f>238*42+4</f>
        <v>10000</v>
      </c>
      <c r="X93" s="48"/>
      <c r="Y93" s="48"/>
      <c r="Z93" s="48"/>
      <c r="AA93" s="48">
        <v>5000</v>
      </c>
      <c r="AB93" s="48"/>
      <c r="AC93" s="48"/>
      <c r="AD93" s="48"/>
      <c r="AE93" s="48"/>
      <c r="AF93" s="48"/>
      <c r="AG93" s="48">
        <v>5000</v>
      </c>
      <c r="AH93" s="48"/>
      <c r="AI93" s="49"/>
    </row>
    <row r="94" spans="1:35" x14ac:dyDescent="0.25">
      <c r="A94" s="48">
        <v>40</v>
      </c>
      <c r="B94" s="166" t="s">
        <v>203</v>
      </c>
      <c r="C94" s="166" t="s">
        <v>202</v>
      </c>
      <c r="D94" s="138">
        <f t="shared" si="5"/>
        <v>4700</v>
      </c>
      <c r="E94" s="48"/>
      <c r="F94" s="48"/>
      <c r="G94" s="35"/>
      <c r="H94" s="35"/>
      <c r="I94" s="35"/>
      <c r="J94" s="35"/>
      <c r="K94" s="35"/>
      <c r="L94" s="35"/>
      <c r="M94" s="48"/>
      <c r="N94" s="48"/>
      <c r="O94" s="48"/>
      <c r="P94" s="48"/>
      <c r="Q94" s="48"/>
      <c r="R94" s="40"/>
      <c r="S94" s="40"/>
      <c r="T94" s="40"/>
      <c r="U94" s="40"/>
      <c r="V94" s="48"/>
      <c r="W94" s="48"/>
      <c r="X94" s="48"/>
      <c r="Y94" s="48"/>
      <c r="Z94" s="48"/>
      <c r="AA94" s="48"/>
      <c r="AB94" s="48">
        <f>70*42+1760</f>
        <v>4700</v>
      </c>
      <c r="AC94" s="48"/>
      <c r="AD94" s="48"/>
      <c r="AE94" s="48"/>
      <c r="AF94" s="48"/>
      <c r="AG94" s="48"/>
      <c r="AH94" s="48"/>
      <c r="AI94" s="49"/>
    </row>
    <row r="95" spans="1:35" x14ac:dyDescent="0.25">
      <c r="A95" s="48">
        <v>41</v>
      </c>
      <c r="B95" s="166" t="s">
        <v>147</v>
      </c>
      <c r="C95" s="166" t="s">
        <v>94</v>
      </c>
      <c r="D95" s="138">
        <f t="shared" si="5"/>
        <v>11600</v>
      </c>
      <c r="E95" s="48"/>
      <c r="F95" s="48"/>
      <c r="G95" s="35"/>
      <c r="H95" s="35"/>
      <c r="I95" s="35"/>
      <c r="J95" s="35"/>
      <c r="K95" s="35"/>
      <c r="L95" s="35"/>
      <c r="M95" s="48"/>
      <c r="N95" s="48"/>
      <c r="O95" s="48"/>
      <c r="P95" s="48"/>
      <c r="Q95" s="48"/>
      <c r="R95" s="40"/>
      <c r="S95" s="40"/>
      <c r="T95" s="40"/>
      <c r="U95" s="40"/>
      <c r="V95" s="48"/>
      <c r="W95" s="48"/>
      <c r="X95" s="48"/>
      <c r="Y95" s="48"/>
      <c r="Z95" s="48">
        <f>85*21+106*21</f>
        <v>4011</v>
      </c>
      <c r="AA95" s="48">
        <f>52*21</f>
        <v>1092</v>
      </c>
      <c r="AB95" s="48">
        <f>72*21-15</f>
        <v>1497</v>
      </c>
      <c r="AC95" s="48"/>
      <c r="AD95" s="48"/>
      <c r="AE95" s="48"/>
      <c r="AF95" s="48">
        <f>1050+160*21</f>
        <v>4410</v>
      </c>
      <c r="AG95" s="48">
        <v>590</v>
      </c>
      <c r="AH95" s="48"/>
      <c r="AI95" s="49"/>
    </row>
    <row r="96" spans="1:35" x14ac:dyDescent="0.25">
      <c r="A96" s="48">
        <v>42</v>
      </c>
      <c r="B96" s="166" t="s">
        <v>268</v>
      </c>
      <c r="C96" s="166" t="s">
        <v>265</v>
      </c>
      <c r="D96" s="138">
        <f t="shared" si="5"/>
        <v>0</v>
      </c>
      <c r="E96" s="48"/>
      <c r="F96" s="48"/>
      <c r="G96" s="35"/>
      <c r="H96" s="35"/>
      <c r="I96" s="35"/>
      <c r="J96" s="35"/>
      <c r="K96" s="35"/>
      <c r="L96" s="35"/>
      <c r="M96" s="48"/>
      <c r="N96" s="48"/>
      <c r="O96" s="48"/>
      <c r="P96" s="48"/>
      <c r="Q96" s="48"/>
      <c r="R96" s="40"/>
      <c r="S96" s="40"/>
      <c r="T96" s="40"/>
      <c r="U96" s="40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9"/>
    </row>
    <row r="97" spans="1:35" x14ac:dyDescent="0.25">
      <c r="A97" s="48">
        <v>43</v>
      </c>
      <c r="B97" s="166" t="s">
        <v>269</v>
      </c>
      <c r="C97" s="166" t="s">
        <v>266</v>
      </c>
      <c r="D97" s="138">
        <f t="shared" si="5"/>
        <v>0</v>
      </c>
      <c r="E97" s="48"/>
      <c r="F97" s="48"/>
      <c r="G97" s="35"/>
      <c r="H97" s="35"/>
      <c r="I97" s="35"/>
      <c r="J97" s="35"/>
      <c r="K97" s="35"/>
      <c r="L97" s="35"/>
      <c r="M97" s="48"/>
      <c r="N97" s="48"/>
      <c r="O97" s="48"/>
      <c r="P97" s="48"/>
      <c r="Q97" s="48"/>
      <c r="R97" s="40"/>
      <c r="S97" s="40"/>
      <c r="T97" s="40"/>
      <c r="U97" s="40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9"/>
    </row>
    <row r="98" spans="1:35" x14ac:dyDescent="0.25">
      <c r="A98" s="48">
        <v>44</v>
      </c>
      <c r="B98" s="166" t="s">
        <v>270</v>
      </c>
      <c r="C98" s="166" t="s">
        <v>267</v>
      </c>
      <c r="D98" s="138">
        <f t="shared" si="5"/>
        <v>0</v>
      </c>
      <c r="E98" s="48"/>
      <c r="F98" s="48"/>
      <c r="G98" s="35"/>
      <c r="H98" s="35"/>
      <c r="I98" s="35"/>
      <c r="J98" s="35"/>
      <c r="K98" s="35"/>
      <c r="L98" s="35"/>
      <c r="M98" s="48"/>
      <c r="N98" s="48"/>
      <c r="O98" s="48"/>
      <c r="P98" s="48"/>
      <c r="Q98" s="137"/>
      <c r="R98" s="40"/>
      <c r="S98" s="40"/>
      <c r="T98" s="40"/>
      <c r="U98" s="40"/>
      <c r="V98" s="48"/>
      <c r="W98" s="48"/>
      <c r="X98" s="48"/>
      <c r="Y98" s="48"/>
      <c r="Z98" s="48"/>
      <c r="AA98" s="48"/>
      <c r="AB98" s="48"/>
      <c r="AC98" s="48"/>
      <c r="AD98" s="137"/>
      <c r="AE98" s="48"/>
      <c r="AF98" s="48"/>
      <c r="AG98" s="48"/>
      <c r="AH98" s="48"/>
      <c r="AI98" s="49"/>
    </row>
    <row r="99" spans="1:35" x14ac:dyDescent="0.25">
      <c r="A99" s="48">
        <v>45</v>
      </c>
      <c r="B99" s="166" t="s">
        <v>205</v>
      </c>
      <c r="C99" s="166" t="s">
        <v>204</v>
      </c>
      <c r="D99" s="138">
        <f t="shared" si="5"/>
        <v>0</v>
      </c>
      <c r="E99" s="48"/>
      <c r="F99" s="48"/>
      <c r="G99" s="35"/>
      <c r="H99" s="35"/>
      <c r="I99" s="35"/>
      <c r="J99" s="35"/>
      <c r="K99" s="35"/>
      <c r="L99" s="35"/>
      <c r="M99" s="48"/>
      <c r="N99" s="48"/>
      <c r="O99" s="48"/>
      <c r="P99" s="48"/>
      <c r="Q99" s="48"/>
      <c r="R99" s="40"/>
      <c r="S99" s="40"/>
      <c r="T99" s="40"/>
      <c r="U99" s="40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9"/>
    </row>
    <row r="100" spans="1:35" x14ac:dyDescent="0.25">
      <c r="A100" s="48">
        <v>46</v>
      </c>
      <c r="B100" s="166" t="s">
        <v>187</v>
      </c>
      <c r="C100" s="166" t="s">
        <v>186</v>
      </c>
      <c r="D100" s="138">
        <f t="shared" si="5"/>
        <v>44000</v>
      </c>
      <c r="E100" s="48"/>
      <c r="F100" s="48"/>
      <c r="G100" s="35"/>
      <c r="H100" s="35"/>
      <c r="I100" s="35"/>
      <c r="J100" s="35"/>
      <c r="K100" s="35"/>
      <c r="L100" s="35"/>
      <c r="M100" s="48"/>
      <c r="N100" s="48"/>
      <c r="O100" s="48"/>
      <c r="P100" s="48"/>
      <c r="Q100" s="48"/>
      <c r="R100" s="40"/>
      <c r="S100" s="40"/>
      <c r="T100" s="40"/>
      <c r="U100" s="40"/>
      <c r="V100" s="48"/>
      <c r="W100" s="48"/>
      <c r="X100" s="48"/>
      <c r="Y100" s="48"/>
      <c r="Z100" s="48"/>
      <c r="AA100" s="48"/>
      <c r="AB100" s="48"/>
      <c r="AC100" s="48"/>
      <c r="AD100" s="48">
        <f>410*42+42*42</f>
        <v>18984</v>
      </c>
      <c r="AE100" s="48">
        <v>546</v>
      </c>
      <c r="AF100" s="48">
        <v>14245</v>
      </c>
      <c r="AG100" s="48"/>
      <c r="AH100" s="48">
        <v>10225</v>
      </c>
      <c r="AI100" s="49"/>
    </row>
    <row r="101" spans="1:35" x14ac:dyDescent="0.25">
      <c r="A101" s="141" t="s">
        <v>140</v>
      </c>
      <c r="B101" s="144" t="s">
        <v>121</v>
      </c>
      <c r="C101" s="141" t="s">
        <v>141</v>
      </c>
      <c r="D101" s="143">
        <f t="shared" ref="D101:AI101" si="6">SUM(D102:D143)</f>
        <v>2409346</v>
      </c>
      <c r="E101" s="143">
        <f t="shared" si="6"/>
        <v>161408</v>
      </c>
      <c r="F101" s="143">
        <f t="shared" si="6"/>
        <v>0</v>
      </c>
      <c r="G101" s="143">
        <f t="shared" si="6"/>
        <v>188896</v>
      </c>
      <c r="H101" s="143">
        <f t="shared" si="6"/>
        <v>43280</v>
      </c>
      <c r="I101" s="143">
        <f t="shared" si="6"/>
        <v>0</v>
      </c>
      <c r="J101" s="143">
        <f t="shared" si="6"/>
        <v>57744</v>
      </c>
      <c r="K101" s="143">
        <f t="shared" si="6"/>
        <v>20358</v>
      </c>
      <c r="L101" s="143">
        <f t="shared" si="6"/>
        <v>158672</v>
      </c>
      <c r="M101" s="143">
        <f t="shared" si="6"/>
        <v>110037</v>
      </c>
      <c r="N101" s="143">
        <f t="shared" si="6"/>
        <v>90648</v>
      </c>
      <c r="O101" s="143">
        <f t="shared" si="6"/>
        <v>68752</v>
      </c>
      <c r="P101" s="143">
        <f t="shared" si="6"/>
        <v>45608</v>
      </c>
      <c r="Q101" s="143">
        <f t="shared" si="6"/>
        <v>97000</v>
      </c>
      <c r="R101" s="143">
        <f t="shared" si="6"/>
        <v>0</v>
      </c>
      <c r="S101" s="143">
        <f t="shared" si="6"/>
        <v>0</v>
      </c>
      <c r="T101" s="143">
        <f t="shared" si="6"/>
        <v>0</v>
      </c>
      <c r="U101" s="143">
        <f t="shared" si="6"/>
        <v>36004</v>
      </c>
      <c r="V101" s="143">
        <f t="shared" si="6"/>
        <v>58288</v>
      </c>
      <c r="W101" s="143">
        <f t="shared" si="6"/>
        <v>122152</v>
      </c>
      <c r="X101" s="143">
        <f t="shared" si="6"/>
        <v>71131</v>
      </c>
      <c r="Y101" s="143">
        <f t="shared" si="6"/>
        <v>131940</v>
      </c>
      <c r="Z101" s="143">
        <f t="shared" si="6"/>
        <v>67736</v>
      </c>
      <c r="AA101" s="143">
        <f t="shared" si="6"/>
        <v>119265</v>
      </c>
      <c r="AB101" s="143">
        <f t="shared" si="6"/>
        <v>89722</v>
      </c>
      <c r="AC101" s="143">
        <f t="shared" si="6"/>
        <v>67132</v>
      </c>
      <c r="AD101" s="143">
        <f t="shared" si="6"/>
        <v>105830</v>
      </c>
      <c r="AE101" s="143">
        <f t="shared" si="6"/>
        <v>112865</v>
      </c>
      <c r="AF101" s="143">
        <f t="shared" si="6"/>
        <v>117512</v>
      </c>
      <c r="AG101" s="143">
        <f t="shared" si="6"/>
        <v>75824</v>
      </c>
      <c r="AH101" s="143">
        <f t="shared" si="6"/>
        <v>97232</v>
      </c>
      <c r="AI101" s="143">
        <f t="shared" si="6"/>
        <v>94310</v>
      </c>
    </row>
    <row r="102" spans="1:35" x14ac:dyDescent="0.25">
      <c r="A102" s="48">
        <v>1</v>
      </c>
      <c r="B102" s="166" t="s">
        <v>181</v>
      </c>
      <c r="C102" s="166" t="s">
        <v>180</v>
      </c>
      <c r="D102" s="138">
        <f t="shared" ref="D102:D143" si="7">SUM(E102:AI102)</f>
        <v>0</v>
      </c>
      <c r="E102" s="48"/>
      <c r="F102" s="48"/>
      <c r="G102" s="35"/>
      <c r="H102" s="35"/>
      <c r="I102" s="35"/>
      <c r="J102" s="35"/>
      <c r="K102" s="35"/>
      <c r="L102" s="35"/>
      <c r="M102" s="48"/>
      <c r="N102" s="48"/>
      <c r="O102" s="48"/>
      <c r="P102" s="48"/>
      <c r="Q102" s="48"/>
      <c r="R102" s="40"/>
      <c r="S102" s="40"/>
      <c r="T102" s="40"/>
      <c r="U102" s="40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9"/>
    </row>
    <row r="103" spans="1:35" x14ac:dyDescent="0.25">
      <c r="A103" s="48">
        <v>2</v>
      </c>
      <c r="B103" s="166" t="s">
        <v>736</v>
      </c>
      <c r="C103" s="166" t="s">
        <v>735</v>
      </c>
      <c r="D103" s="138">
        <f t="shared" si="7"/>
        <v>4960</v>
      </c>
      <c r="E103" s="48"/>
      <c r="F103" s="48"/>
      <c r="G103" s="35">
        <v>4960</v>
      </c>
      <c r="H103" s="35"/>
      <c r="I103" s="35"/>
      <c r="J103" s="35"/>
      <c r="K103" s="35"/>
      <c r="L103" s="35"/>
      <c r="M103" s="48"/>
      <c r="N103" s="48"/>
      <c r="O103" s="48"/>
      <c r="P103" s="48"/>
      <c r="Q103" s="48"/>
      <c r="R103" s="40"/>
      <c r="S103" s="40"/>
      <c r="T103" s="40"/>
      <c r="U103" s="40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9"/>
    </row>
    <row r="104" spans="1:35" x14ac:dyDescent="0.25">
      <c r="A104" s="48">
        <v>3</v>
      </c>
      <c r="B104" s="176" t="s">
        <v>1076</v>
      </c>
      <c r="C104" s="176" t="s">
        <v>1075</v>
      </c>
      <c r="D104" s="138">
        <f t="shared" si="7"/>
        <v>4000</v>
      </c>
      <c r="E104" s="48"/>
      <c r="F104" s="48"/>
      <c r="G104" s="35"/>
      <c r="H104" s="35"/>
      <c r="I104" s="35"/>
      <c r="J104" s="35"/>
      <c r="K104" s="35"/>
      <c r="L104" s="35"/>
      <c r="M104" s="48"/>
      <c r="N104" s="48"/>
      <c r="O104" s="48"/>
      <c r="P104" s="48"/>
      <c r="Q104" s="48"/>
      <c r="R104" s="40"/>
      <c r="S104" s="40"/>
      <c r="T104" s="40"/>
      <c r="U104" s="40"/>
      <c r="V104" s="48"/>
      <c r="W104" s="48">
        <v>1000</v>
      </c>
      <c r="X104" s="48">
        <v>500</v>
      </c>
      <c r="Y104" s="48">
        <v>500</v>
      </c>
      <c r="Z104" s="48"/>
      <c r="AA104" s="48"/>
      <c r="AB104" s="48"/>
      <c r="AC104" s="137"/>
      <c r="AD104" s="137"/>
      <c r="AE104" s="48"/>
      <c r="AF104" s="48">
        <f>40*48</f>
        <v>1920</v>
      </c>
      <c r="AG104" s="48"/>
      <c r="AH104" s="48"/>
      <c r="AI104" s="49">
        <v>80</v>
      </c>
    </row>
    <row r="105" spans="1:35" x14ac:dyDescent="0.25">
      <c r="A105" s="48">
        <v>4</v>
      </c>
      <c r="B105" s="176" t="s">
        <v>1066</v>
      </c>
      <c r="C105" s="176" t="s">
        <v>1065</v>
      </c>
      <c r="D105" s="138">
        <f t="shared" si="7"/>
        <v>10000</v>
      </c>
      <c r="E105" s="48"/>
      <c r="F105" s="48"/>
      <c r="G105" s="35"/>
      <c r="H105" s="35"/>
      <c r="I105" s="35"/>
      <c r="J105" s="35"/>
      <c r="K105" s="35"/>
      <c r="L105" s="35"/>
      <c r="M105" s="48"/>
      <c r="N105" s="48"/>
      <c r="O105" s="48"/>
      <c r="P105" s="48"/>
      <c r="Q105" s="48"/>
      <c r="R105" s="40"/>
      <c r="S105" s="40"/>
      <c r="T105" s="40"/>
      <c r="U105" s="40"/>
      <c r="V105" s="48">
        <v>10000</v>
      </c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9"/>
    </row>
    <row r="106" spans="1:35" x14ac:dyDescent="0.25">
      <c r="A106" s="48">
        <v>5</v>
      </c>
      <c r="B106" s="166" t="s">
        <v>754</v>
      </c>
      <c r="C106" s="166" t="s">
        <v>753</v>
      </c>
      <c r="D106" s="138">
        <f t="shared" si="7"/>
        <v>17000</v>
      </c>
      <c r="E106" s="48"/>
      <c r="F106" s="48"/>
      <c r="G106" s="35"/>
      <c r="H106" s="35"/>
      <c r="I106" s="35"/>
      <c r="J106" s="35"/>
      <c r="K106" s="35"/>
      <c r="L106" s="35"/>
      <c r="M106" s="48"/>
      <c r="N106" s="48"/>
      <c r="O106" s="48">
        <v>16960</v>
      </c>
      <c r="P106" s="48"/>
      <c r="Q106" s="48"/>
      <c r="R106" s="40"/>
      <c r="S106" s="40"/>
      <c r="T106" s="40"/>
      <c r="U106" s="40">
        <v>40</v>
      </c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9"/>
    </row>
    <row r="107" spans="1:35" x14ac:dyDescent="0.25">
      <c r="A107" s="48">
        <v>6</v>
      </c>
      <c r="B107" s="166" t="s">
        <v>755</v>
      </c>
      <c r="C107" s="166" t="s">
        <v>756</v>
      </c>
      <c r="D107" s="138">
        <f t="shared" si="7"/>
        <v>9000</v>
      </c>
      <c r="E107" s="48"/>
      <c r="F107" s="166"/>
      <c r="G107" s="35"/>
      <c r="H107" s="35"/>
      <c r="I107" s="35"/>
      <c r="J107" s="35"/>
      <c r="K107" s="35"/>
      <c r="L107" s="35"/>
      <c r="M107" s="48"/>
      <c r="N107" s="48"/>
      <c r="O107" s="48"/>
      <c r="P107" s="48"/>
      <c r="Q107" s="48"/>
      <c r="R107" s="40"/>
      <c r="S107" s="40"/>
      <c r="T107" s="40"/>
      <c r="U107" s="40">
        <f>500*15</f>
        <v>7500</v>
      </c>
      <c r="V107" s="48"/>
      <c r="W107" s="48"/>
      <c r="X107" s="48"/>
      <c r="Y107" s="48">
        <v>500</v>
      </c>
      <c r="Z107" s="48"/>
      <c r="AA107" s="48"/>
      <c r="AB107" s="48"/>
      <c r="AC107" s="48"/>
      <c r="AD107" s="48"/>
      <c r="AE107" s="48">
        <v>1000</v>
      </c>
      <c r="AF107" s="48"/>
      <c r="AG107" s="48"/>
      <c r="AH107" s="48"/>
      <c r="AI107" s="49"/>
    </row>
    <row r="108" spans="1:35" x14ac:dyDescent="0.25">
      <c r="A108" s="48">
        <v>7</v>
      </c>
      <c r="B108" s="166" t="s">
        <v>336</v>
      </c>
      <c r="C108" s="166" t="s">
        <v>335</v>
      </c>
      <c r="D108" s="138">
        <f t="shared" si="7"/>
        <v>52976</v>
      </c>
      <c r="E108" s="48">
        <v>2960</v>
      </c>
      <c r="F108" s="48"/>
      <c r="G108" s="35"/>
      <c r="H108" s="35"/>
      <c r="I108" s="35"/>
      <c r="J108" s="35"/>
      <c r="K108" s="35"/>
      <c r="L108" s="35"/>
      <c r="M108" s="48"/>
      <c r="N108" s="48"/>
      <c r="O108" s="48"/>
      <c r="P108" s="48"/>
      <c r="Q108" s="48"/>
      <c r="R108" s="40"/>
      <c r="S108" s="40"/>
      <c r="T108" s="40"/>
      <c r="U108" s="40"/>
      <c r="V108" s="48"/>
      <c r="W108" s="48"/>
      <c r="X108" s="48"/>
      <c r="Y108" s="48">
        <f>300*48</f>
        <v>14400</v>
      </c>
      <c r="Z108" s="48">
        <f>742*48</f>
        <v>35616</v>
      </c>
      <c r="AA108" s="48"/>
      <c r="AB108" s="48"/>
      <c r="AC108" s="48"/>
      <c r="AD108" s="48"/>
      <c r="AE108" s="48"/>
      <c r="AF108" s="48"/>
      <c r="AG108" s="48"/>
      <c r="AH108" s="48"/>
      <c r="AI108" s="49"/>
    </row>
    <row r="109" spans="1:35" x14ac:dyDescent="0.25">
      <c r="A109" s="48">
        <v>8</v>
      </c>
      <c r="B109" s="166" t="s">
        <v>571</v>
      </c>
      <c r="C109" s="166" t="s">
        <v>570</v>
      </c>
      <c r="D109" s="138">
        <f t="shared" si="7"/>
        <v>0</v>
      </c>
      <c r="E109" s="48"/>
      <c r="F109" s="48"/>
      <c r="G109" s="35"/>
      <c r="H109" s="35"/>
      <c r="I109" s="35"/>
      <c r="J109" s="35"/>
      <c r="K109" s="35"/>
      <c r="L109" s="35"/>
      <c r="M109" s="48"/>
      <c r="N109" s="48"/>
      <c r="O109" s="48"/>
      <c r="P109" s="48"/>
      <c r="Q109" s="48"/>
      <c r="R109" s="40"/>
      <c r="S109" s="40"/>
      <c r="T109" s="40"/>
      <c r="U109" s="40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9"/>
    </row>
    <row r="110" spans="1:35" x14ac:dyDescent="0.25">
      <c r="A110" s="48">
        <v>9</v>
      </c>
      <c r="B110" s="166" t="s">
        <v>102</v>
      </c>
      <c r="C110" s="166" t="s">
        <v>688</v>
      </c>
      <c r="D110" s="138">
        <f t="shared" si="7"/>
        <v>0</v>
      </c>
      <c r="E110" s="48"/>
      <c r="F110" s="48"/>
      <c r="G110" s="35"/>
      <c r="H110" s="35"/>
      <c r="I110" s="35"/>
      <c r="J110" s="35"/>
      <c r="K110" s="35"/>
      <c r="L110" s="35"/>
      <c r="M110" s="48"/>
      <c r="N110" s="48"/>
      <c r="O110" s="48"/>
      <c r="P110" s="48"/>
      <c r="Q110" s="48"/>
      <c r="R110" s="40"/>
      <c r="S110" s="40"/>
      <c r="T110" s="40"/>
      <c r="U110" s="40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9"/>
    </row>
    <row r="111" spans="1:35" x14ac:dyDescent="0.25">
      <c r="A111" s="48">
        <v>10</v>
      </c>
      <c r="B111" s="176" t="s">
        <v>1126</v>
      </c>
      <c r="C111" s="176" t="s">
        <v>1125</v>
      </c>
      <c r="D111" s="138">
        <f t="shared" si="7"/>
        <v>96</v>
      </c>
      <c r="E111" s="48"/>
      <c r="F111" s="48"/>
      <c r="G111" s="35"/>
      <c r="H111" s="35"/>
      <c r="I111" s="35"/>
      <c r="J111" s="35"/>
      <c r="K111" s="35"/>
      <c r="L111" s="35"/>
      <c r="M111" s="48"/>
      <c r="N111" s="48"/>
      <c r="O111" s="48"/>
      <c r="P111" s="48"/>
      <c r="Q111" s="48"/>
      <c r="R111" s="40"/>
      <c r="S111" s="40"/>
      <c r="T111" s="40"/>
      <c r="U111" s="40"/>
      <c r="V111" s="48"/>
      <c r="W111" s="48"/>
      <c r="X111" s="48"/>
      <c r="Y111" s="48">
        <v>96</v>
      </c>
      <c r="Z111" s="48"/>
      <c r="AA111" s="48"/>
      <c r="AB111" s="48"/>
      <c r="AC111" s="48"/>
      <c r="AD111" s="48"/>
      <c r="AE111" s="48"/>
      <c r="AF111" s="48"/>
      <c r="AG111" s="48"/>
      <c r="AH111" s="48"/>
      <c r="AI111" s="49"/>
    </row>
    <row r="112" spans="1:35" x14ac:dyDescent="0.25">
      <c r="A112" s="48">
        <v>11</v>
      </c>
      <c r="B112" s="176" t="s">
        <v>1180</v>
      </c>
      <c r="C112" s="176" t="s">
        <v>1179</v>
      </c>
      <c r="D112" s="138">
        <f t="shared" si="7"/>
        <v>400</v>
      </c>
      <c r="E112" s="48"/>
      <c r="F112" s="48"/>
      <c r="G112" s="35"/>
      <c r="H112" s="35"/>
      <c r="I112" s="35"/>
      <c r="J112" s="35"/>
      <c r="K112" s="35"/>
      <c r="L112" s="35"/>
      <c r="M112" s="48"/>
      <c r="N112" s="48"/>
      <c r="O112" s="48"/>
      <c r="P112" s="48"/>
      <c r="Q112" s="48"/>
      <c r="R112" s="40"/>
      <c r="S112" s="40"/>
      <c r="T112" s="40"/>
      <c r="U112" s="40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>
        <v>400</v>
      </c>
      <c r="AG112" s="48"/>
      <c r="AH112" s="48"/>
      <c r="AI112" s="49"/>
    </row>
    <row r="113" spans="1:35" x14ac:dyDescent="0.25">
      <c r="A113" s="48">
        <v>12</v>
      </c>
      <c r="B113" s="166" t="s">
        <v>690</v>
      </c>
      <c r="C113" s="166" t="s">
        <v>689</v>
      </c>
      <c r="D113" s="138">
        <f t="shared" si="7"/>
        <v>0</v>
      </c>
      <c r="E113" s="48"/>
      <c r="F113" s="48"/>
      <c r="G113" s="35"/>
      <c r="H113" s="35"/>
      <c r="I113" s="35"/>
      <c r="J113" s="35"/>
      <c r="K113" s="35"/>
      <c r="L113" s="35"/>
      <c r="M113" s="48"/>
      <c r="N113" s="48"/>
      <c r="O113" s="48"/>
      <c r="P113" s="48"/>
      <c r="Q113" s="48"/>
      <c r="R113" s="40"/>
      <c r="S113" s="40"/>
      <c r="T113" s="40"/>
      <c r="U113" s="40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9"/>
    </row>
    <row r="114" spans="1:35" x14ac:dyDescent="0.25">
      <c r="A114" s="48">
        <v>13</v>
      </c>
      <c r="B114" s="166" t="s">
        <v>692</v>
      </c>
      <c r="C114" s="166" t="s">
        <v>691</v>
      </c>
      <c r="D114" s="138">
        <f t="shared" si="7"/>
        <v>0</v>
      </c>
      <c r="E114" s="48"/>
      <c r="F114" s="48"/>
      <c r="G114" s="35"/>
      <c r="H114" s="35"/>
      <c r="I114" s="35"/>
      <c r="J114" s="35"/>
      <c r="K114" s="35"/>
      <c r="L114" s="35"/>
      <c r="M114" s="48"/>
      <c r="N114" s="48"/>
      <c r="O114" s="48"/>
      <c r="P114" s="48"/>
      <c r="Q114" s="48"/>
      <c r="R114" s="40"/>
      <c r="S114" s="40"/>
      <c r="T114" s="40"/>
      <c r="U114" s="40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9"/>
    </row>
    <row r="115" spans="1:35" ht="15.75" x14ac:dyDescent="0.25">
      <c r="A115" s="48">
        <v>14</v>
      </c>
      <c r="B115" s="166" t="s">
        <v>461</v>
      </c>
      <c r="C115" s="155" t="s">
        <v>460</v>
      </c>
      <c r="D115" s="138">
        <f t="shared" si="7"/>
        <v>0</v>
      </c>
      <c r="E115" s="48"/>
      <c r="F115" s="48"/>
      <c r="G115" s="35"/>
      <c r="H115" s="35"/>
      <c r="I115" s="35"/>
      <c r="J115" s="35"/>
      <c r="K115" s="35"/>
      <c r="L115" s="35"/>
      <c r="M115" s="48"/>
      <c r="N115" s="48"/>
      <c r="O115" s="48"/>
      <c r="P115" s="48"/>
      <c r="Q115" s="48"/>
      <c r="R115" s="40"/>
      <c r="S115" s="40"/>
      <c r="T115" s="40"/>
      <c r="U115" s="40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9"/>
    </row>
    <row r="116" spans="1:35" x14ac:dyDescent="0.25">
      <c r="A116" s="48">
        <v>15</v>
      </c>
      <c r="B116" s="176" t="s">
        <v>1196</v>
      </c>
      <c r="C116" s="176" t="s">
        <v>1195</v>
      </c>
      <c r="D116" s="138">
        <f t="shared" si="7"/>
        <v>20000</v>
      </c>
      <c r="E116" s="48"/>
      <c r="F116" s="48"/>
      <c r="G116" s="35"/>
      <c r="H116" s="35"/>
      <c r="I116" s="35"/>
      <c r="J116" s="35"/>
      <c r="K116" s="35"/>
      <c r="L116" s="35"/>
      <c r="M116" s="48"/>
      <c r="N116" s="48"/>
      <c r="O116" s="48"/>
      <c r="P116" s="48"/>
      <c r="Q116" s="48"/>
      <c r="R116" s="40"/>
      <c r="S116" s="40"/>
      <c r="T116" s="40"/>
      <c r="U116" s="40"/>
      <c r="V116" s="48"/>
      <c r="W116" s="48"/>
      <c r="X116" s="48"/>
      <c r="Y116" s="48"/>
      <c r="Z116" s="48"/>
      <c r="AA116" s="48"/>
      <c r="AB116" s="48"/>
      <c r="AC116" s="48"/>
      <c r="AD116" s="48">
        <f>333*48</f>
        <v>15984</v>
      </c>
      <c r="AE116" s="48"/>
      <c r="AF116" s="48"/>
      <c r="AG116" s="48">
        <v>4016</v>
      </c>
      <c r="AH116" s="48"/>
      <c r="AI116" s="49"/>
    </row>
    <row r="117" spans="1:35" x14ac:dyDescent="0.25">
      <c r="A117" s="48">
        <v>16</v>
      </c>
      <c r="B117" s="166" t="s">
        <v>443</v>
      </c>
      <c r="C117" s="166" t="s">
        <v>442</v>
      </c>
      <c r="D117" s="138">
        <f t="shared" si="7"/>
        <v>0</v>
      </c>
      <c r="E117" s="48"/>
      <c r="F117" s="48"/>
      <c r="G117" s="35"/>
      <c r="H117" s="35"/>
      <c r="I117" s="35"/>
      <c r="J117" s="35"/>
      <c r="K117" s="35"/>
      <c r="L117" s="35"/>
      <c r="M117" s="48"/>
      <c r="N117" s="48"/>
      <c r="O117" s="48"/>
      <c r="P117" s="48"/>
      <c r="Q117" s="48"/>
      <c r="R117" s="40"/>
      <c r="S117" s="40"/>
      <c r="T117" s="40"/>
      <c r="U117" s="40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9"/>
    </row>
    <row r="118" spans="1:35" x14ac:dyDescent="0.25">
      <c r="A118" s="48">
        <v>17</v>
      </c>
      <c r="B118" s="166" t="s">
        <v>281</v>
      </c>
      <c r="C118" s="166" t="s">
        <v>282</v>
      </c>
      <c r="D118" s="138">
        <f t="shared" si="7"/>
        <v>22000</v>
      </c>
      <c r="E118" s="48"/>
      <c r="F118" s="48"/>
      <c r="G118" s="35"/>
      <c r="H118" s="35"/>
      <c r="I118" s="35"/>
      <c r="J118" s="35"/>
      <c r="K118" s="35"/>
      <c r="L118" s="35"/>
      <c r="M118" s="48"/>
      <c r="N118" s="48"/>
      <c r="O118" s="48"/>
      <c r="P118" s="48"/>
      <c r="Q118" s="48"/>
      <c r="R118" s="40"/>
      <c r="S118" s="40"/>
      <c r="T118" s="40"/>
      <c r="U118" s="40"/>
      <c r="V118" s="48">
        <v>20000</v>
      </c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>
        <v>2000</v>
      </c>
      <c r="AI118" s="49"/>
    </row>
    <row r="119" spans="1:35" ht="15.75" x14ac:dyDescent="0.25">
      <c r="A119" s="48">
        <v>18</v>
      </c>
      <c r="B119" s="166" t="s">
        <v>465</v>
      </c>
      <c r="C119" s="155" t="s">
        <v>464</v>
      </c>
      <c r="D119" s="138">
        <f t="shared" si="7"/>
        <v>1414274</v>
      </c>
      <c r="E119" s="48">
        <f>901*48+2400*48</f>
        <v>158448</v>
      </c>
      <c r="F119" s="48"/>
      <c r="G119" s="35">
        <f>1062*48+2770*48</f>
        <v>183936</v>
      </c>
      <c r="H119" s="35">
        <f>907*48-256</f>
        <v>43280</v>
      </c>
      <c r="I119" s="35"/>
      <c r="J119" s="35"/>
      <c r="K119" s="35"/>
      <c r="L119" s="35">
        <f>417*48</f>
        <v>20016</v>
      </c>
      <c r="M119" s="48">
        <f>1042*48</f>
        <v>50016</v>
      </c>
      <c r="N119" s="48">
        <f>230*48+874*48</f>
        <v>52992</v>
      </c>
      <c r="O119" s="48">
        <f>168*48</f>
        <v>8064</v>
      </c>
      <c r="P119" s="48">
        <f>950*48</f>
        <v>45600</v>
      </c>
      <c r="Q119" s="48">
        <f>1500*48</f>
        <v>72000</v>
      </c>
      <c r="R119" s="40"/>
      <c r="S119" s="40"/>
      <c r="T119" s="40"/>
      <c r="U119" s="40">
        <f>593*48</f>
        <v>28464</v>
      </c>
      <c r="V119" s="48">
        <v>1280</v>
      </c>
      <c r="W119" s="48">
        <f>1382*48+546*48</f>
        <v>92544</v>
      </c>
      <c r="X119" s="48">
        <f>834*48</f>
        <v>40032</v>
      </c>
      <c r="Y119" s="48">
        <f>511*48+1364*48+576</f>
        <v>90576</v>
      </c>
      <c r="Z119" s="48"/>
      <c r="AA119" s="48">
        <f>573*48+1380*48</f>
        <v>93744</v>
      </c>
      <c r="AB119" s="48">
        <f>173*48+1208*48</f>
        <v>66288</v>
      </c>
      <c r="AC119" s="48">
        <f>481*48</f>
        <v>23088</v>
      </c>
      <c r="AD119" s="48">
        <f>1394*48+1534</f>
        <v>68446</v>
      </c>
      <c r="AE119" s="48">
        <f>1455*48</f>
        <v>69840</v>
      </c>
      <c r="AF119" s="48">
        <f>212*48+625*48</f>
        <v>40176</v>
      </c>
      <c r="AG119" s="48">
        <f>350*48</f>
        <v>16800</v>
      </c>
      <c r="AH119" s="48">
        <f>732*48+835*48</f>
        <v>75216</v>
      </c>
      <c r="AI119" s="49">
        <f>69818+3610</f>
        <v>73428</v>
      </c>
    </row>
    <row r="120" spans="1:35" x14ac:dyDescent="0.25">
      <c r="A120" s="48">
        <v>19</v>
      </c>
      <c r="B120" s="166" t="s">
        <v>804</v>
      </c>
      <c r="C120" s="166" t="s">
        <v>803</v>
      </c>
      <c r="D120" s="138">
        <f t="shared" si="7"/>
        <v>15000</v>
      </c>
      <c r="E120" s="48"/>
      <c r="F120" s="48"/>
      <c r="G120" s="35"/>
      <c r="H120" s="35"/>
      <c r="I120" s="35"/>
      <c r="J120" s="35">
        <v>4992</v>
      </c>
      <c r="K120" s="35"/>
      <c r="L120" s="35"/>
      <c r="M120" s="48"/>
      <c r="N120" s="48"/>
      <c r="O120" s="48"/>
      <c r="P120" s="48"/>
      <c r="Q120" s="48"/>
      <c r="R120" s="40"/>
      <c r="S120" s="40"/>
      <c r="T120" s="40"/>
      <c r="U120" s="40"/>
      <c r="V120" s="48"/>
      <c r="W120" s="48"/>
      <c r="X120" s="48"/>
      <c r="Y120" s="48"/>
      <c r="Z120" s="48">
        <f>208*48</f>
        <v>9984</v>
      </c>
      <c r="AA120" s="48">
        <v>16</v>
      </c>
      <c r="AB120" s="48"/>
      <c r="AC120" s="48"/>
      <c r="AD120" s="48"/>
      <c r="AE120" s="48"/>
      <c r="AF120" s="48"/>
      <c r="AG120" s="48"/>
      <c r="AH120" s="48"/>
      <c r="AI120" s="49">
        <v>8</v>
      </c>
    </row>
    <row r="121" spans="1:35" x14ac:dyDescent="0.25">
      <c r="A121" s="48">
        <v>20</v>
      </c>
      <c r="B121" s="166" t="s">
        <v>272</v>
      </c>
      <c r="C121" s="166" t="s">
        <v>271</v>
      </c>
      <c r="D121" s="138">
        <f t="shared" si="7"/>
        <v>11000</v>
      </c>
      <c r="E121" s="48"/>
      <c r="F121" s="48"/>
      <c r="G121" s="35"/>
      <c r="H121" s="35"/>
      <c r="I121" s="35"/>
      <c r="J121" s="35"/>
      <c r="K121" s="35"/>
      <c r="L121" s="35"/>
      <c r="M121" s="48"/>
      <c r="N121" s="48"/>
      <c r="O121" s="48">
        <v>10992</v>
      </c>
      <c r="P121" s="48">
        <v>8</v>
      </c>
      <c r="Q121" s="48"/>
      <c r="R121" s="40"/>
      <c r="S121" s="40"/>
      <c r="T121" s="40"/>
      <c r="U121" s="40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9"/>
    </row>
    <row r="122" spans="1:35" x14ac:dyDescent="0.25">
      <c r="A122" s="48">
        <v>21</v>
      </c>
      <c r="B122" s="176" t="s">
        <v>1131</v>
      </c>
      <c r="C122" s="176" t="s">
        <v>1129</v>
      </c>
      <c r="D122" s="138">
        <f t="shared" si="7"/>
        <v>2000</v>
      </c>
      <c r="E122" s="48"/>
      <c r="F122" s="48"/>
      <c r="G122" s="35"/>
      <c r="H122" s="35"/>
      <c r="I122" s="35"/>
      <c r="J122" s="35"/>
      <c r="K122" s="35"/>
      <c r="L122" s="35"/>
      <c r="M122" s="48"/>
      <c r="N122" s="48"/>
      <c r="O122" s="48"/>
      <c r="P122" s="48"/>
      <c r="Q122" s="48"/>
      <c r="R122" s="40"/>
      <c r="S122" s="40"/>
      <c r="T122" s="40"/>
      <c r="U122" s="40"/>
      <c r="V122" s="48"/>
      <c r="W122" s="48"/>
      <c r="X122" s="48"/>
      <c r="Y122" s="48"/>
      <c r="Z122" s="48">
        <v>2000</v>
      </c>
      <c r="AA122" s="48"/>
      <c r="AB122" s="48"/>
      <c r="AC122" s="48"/>
      <c r="AD122" s="48"/>
      <c r="AE122" s="48"/>
      <c r="AF122" s="48"/>
      <c r="AG122" s="48"/>
      <c r="AH122" s="48"/>
      <c r="AI122" s="49"/>
    </row>
    <row r="123" spans="1:35" x14ac:dyDescent="0.25">
      <c r="A123" s="48">
        <v>22</v>
      </c>
      <c r="B123" s="176" t="s">
        <v>1132</v>
      </c>
      <c r="C123" s="176" t="s">
        <v>1130</v>
      </c>
      <c r="D123" s="138">
        <f t="shared" si="7"/>
        <v>5000</v>
      </c>
      <c r="E123" s="48"/>
      <c r="F123" s="48"/>
      <c r="G123" s="35"/>
      <c r="H123" s="35"/>
      <c r="I123" s="35"/>
      <c r="J123" s="35"/>
      <c r="K123" s="35"/>
      <c r="L123" s="35"/>
      <c r="M123" s="48"/>
      <c r="N123" s="48"/>
      <c r="O123" s="48"/>
      <c r="P123" s="48"/>
      <c r="Q123" s="48"/>
      <c r="R123" s="40"/>
      <c r="S123" s="40"/>
      <c r="T123" s="40"/>
      <c r="U123" s="40"/>
      <c r="V123" s="48"/>
      <c r="W123" s="48"/>
      <c r="X123" s="48"/>
      <c r="Y123" s="48"/>
      <c r="Z123" s="48">
        <f>8*15</f>
        <v>120</v>
      </c>
      <c r="AA123" s="48">
        <f>73*15</f>
        <v>1095</v>
      </c>
      <c r="AB123" s="48"/>
      <c r="AC123" s="137">
        <f>164*15</f>
        <v>2460</v>
      </c>
      <c r="AD123" s="137"/>
      <c r="AE123" s="48">
        <v>1325</v>
      </c>
      <c r="AF123" s="48"/>
      <c r="AG123" s="48"/>
      <c r="AH123" s="48"/>
      <c r="AI123" s="49"/>
    </row>
    <row r="124" spans="1:35" x14ac:dyDescent="0.25">
      <c r="A124" s="48">
        <v>23</v>
      </c>
      <c r="B124" s="166" t="s">
        <v>435</v>
      </c>
      <c r="C124" s="166" t="s">
        <v>434</v>
      </c>
      <c r="D124" s="138">
        <f t="shared" si="7"/>
        <v>48632</v>
      </c>
      <c r="E124" s="48"/>
      <c r="F124" s="48"/>
      <c r="G124" s="35"/>
      <c r="H124" s="35"/>
      <c r="I124" s="35"/>
      <c r="J124" s="35"/>
      <c r="K124" s="35"/>
      <c r="L124" s="35"/>
      <c r="M124" s="48"/>
      <c r="N124" s="48"/>
      <c r="O124" s="48">
        <v>9984</v>
      </c>
      <c r="P124" s="48"/>
      <c r="Q124" s="48"/>
      <c r="R124" s="40"/>
      <c r="S124" s="40"/>
      <c r="T124" s="40"/>
      <c r="U124" s="40"/>
      <c r="V124" s="48"/>
      <c r="W124" s="48">
        <f>180*48</f>
        <v>8640</v>
      </c>
      <c r="X124" s="48"/>
      <c r="Y124" s="48"/>
      <c r="Z124" s="48"/>
      <c r="AA124" s="48"/>
      <c r="AB124" s="48"/>
      <c r="AC124" s="48"/>
      <c r="AD124" s="48"/>
      <c r="AE124" s="48"/>
      <c r="AF124" s="48"/>
      <c r="AG124" s="48">
        <v>30008</v>
      </c>
      <c r="AH124" s="48"/>
      <c r="AI124" s="49"/>
    </row>
    <row r="125" spans="1:35" x14ac:dyDescent="0.25">
      <c r="A125" s="48">
        <v>24</v>
      </c>
      <c r="B125" s="166" t="s">
        <v>240</v>
      </c>
      <c r="C125" s="166" t="s">
        <v>239</v>
      </c>
      <c r="D125" s="138">
        <f t="shared" si="7"/>
        <v>10000</v>
      </c>
      <c r="E125" s="48"/>
      <c r="F125" s="48"/>
      <c r="G125" s="35"/>
      <c r="H125" s="35"/>
      <c r="I125" s="35"/>
      <c r="J125" s="35"/>
      <c r="K125" s="35"/>
      <c r="L125" s="35">
        <v>10000</v>
      </c>
      <c r="M125" s="48"/>
      <c r="N125" s="48"/>
      <c r="O125" s="48"/>
      <c r="P125" s="48"/>
      <c r="Q125" s="48"/>
      <c r="R125" s="40"/>
      <c r="S125" s="40"/>
      <c r="T125" s="40"/>
      <c r="U125" s="40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9"/>
    </row>
    <row r="126" spans="1:35" x14ac:dyDescent="0.25">
      <c r="A126" s="48">
        <v>25</v>
      </c>
      <c r="B126" s="166" t="s">
        <v>148</v>
      </c>
      <c r="C126" s="166" t="s">
        <v>110</v>
      </c>
      <c r="D126" s="138">
        <f t="shared" si="7"/>
        <v>5000</v>
      </c>
      <c r="E126" s="48"/>
      <c r="F126" s="48"/>
      <c r="G126" s="35"/>
      <c r="H126" s="35"/>
      <c r="I126" s="35"/>
      <c r="J126" s="35"/>
      <c r="K126" s="35"/>
      <c r="L126" s="35"/>
      <c r="M126" s="48"/>
      <c r="N126" s="48"/>
      <c r="O126" s="48"/>
      <c r="P126" s="48"/>
      <c r="Q126" s="48"/>
      <c r="R126" s="40"/>
      <c r="S126" s="40"/>
      <c r="T126" s="40"/>
      <c r="U126" s="40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>
        <v>5000</v>
      </c>
      <c r="AH126" s="48"/>
      <c r="AI126" s="49"/>
    </row>
    <row r="127" spans="1:35" x14ac:dyDescent="0.25">
      <c r="A127" s="48">
        <v>26</v>
      </c>
      <c r="B127" s="166" t="s">
        <v>303</v>
      </c>
      <c r="C127" s="166" t="s">
        <v>302</v>
      </c>
      <c r="D127" s="138">
        <f t="shared" si="7"/>
        <v>0</v>
      </c>
      <c r="E127" s="48"/>
      <c r="F127" s="48"/>
      <c r="G127" s="35"/>
      <c r="H127" s="35"/>
      <c r="I127" s="35"/>
      <c r="J127" s="35"/>
      <c r="K127" s="35"/>
      <c r="L127" s="35"/>
      <c r="M127" s="48"/>
      <c r="N127" s="48"/>
      <c r="O127" s="48"/>
      <c r="P127" s="48"/>
      <c r="Q127" s="48"/>
      <c r="R127" s="40"/>
      <c r="S127" s="40"/>
      <c r="T127" s="40"/>
      <c r="U127" s="40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9"/>
    </row>
    <row r="128" spans="1:35" x14ac:dyDescent="0.25">
      <c r="A128" s="48">
        <v>27</v>
      </c>
      <c r="B128" s="166" t="s">
        <v>149</v>
      </c>
      <c r="C128" s="166" t="s">
        <v>111</v>
      </c>
      <c r="D128" s="138">
        <f t="shared" si="7"/>
        <v>0</v>
      </c>
      <c r="E128" s="48"/>
      <c r="F128" s="48"/>
      <c r="G128" s="35"/>
      <c r="H128" s="35"/>
      <c r="I128" s="35"/>
      <c r="J128" s="35"/>
      <c r="K128" s="35"/>
      <c r="L128" s="35"/>
      <c r="M128" s="48"/>
      <c r="N128" s="48"/>
      <c r="O128" s="48"/>
      <c r="P128" s="48"/>
      <c r="Q128" s="48"/>
      <c r="R128" s="40"/>
      <c r="S128" s="40"/>
      <c r="T128" s="40"/>
      <c r="U128" s="40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9"/>
    </row>
    <row r="129" spans="1:35" x14ac:dyDescent="0.25">
      <c r="A129" s="48">
        <v>28</v>
      </c>
      <c r="B129" s="166" t="s">
        <v>822</v>
      </c>
      <c r="C129" s="166" t="s">
        <v>821</v>
      </c>
      <c r="D129" s="138">
        <f t="shared" si="7"/>
        <v>5000</v>
      </c>
      <c r="E129" s="48"/>
      <c r="F129" s="48"/>
      <c r="G129" s="35"/>
      <c r="H129" s="35"/>
      <c r="I129" s="35"/>
      <c r="J129" s="35"/>
      <c r="K129" s="35"/>
      <c r="L129" s="35"/>
      <c r="M129" s="48"/>
      <c r="N129" s="48">
        <v>4992</v>
      </c>
      <c r="O129" s="48"/>
      <c r="P129" s="48"/>
      <c r="Q129" s="48"/>
      <c r="R129" s="40"/>
      <c r="S129" s="40"/>
      <c r="T129" s="40"/>
      <c r="U129" s="40"/>
      <c r="V129" s="48">
        <v>8</v>
      </c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9"/>
    </row>
    <row r="130" spans="1:35" x14ac:dyDescent="0.25">
      <c r="A130" s="48">
        <v>29</v>
      </c>
      <c r="B130" s="166" t="s">
        <v>150</v>
      </c>
      <c r="C130" s="166" t="s">
        <v>112</v>
      </c>
      <c r="D130" s="138">
        <f t="shared" si="7"/>
        <v>11900</v>
      </c>
      <c r="E130" s="48"/>
      <c r="F130" s="48"/>
      <c r="G130" s="35"/>
      <c r="H130" s="35"/>
      <c r="I130" s="35"/>
      <c r="J130" s="35"/>
      <c r="K130" s="35"/>
      <c r="L130" s="35"/>
      <c r="M130" s="48"/>
      <c r="N130" s="48"/>
      <c r="O130" s="48"/>
      <c r="P130" s="48"/>
      <c r="Q130" s="48"/>
      <c r="R130" s="40"/>
      <c r="S130" s="40"/>
      <c r="T130" s="40"/>
      <c r="U130" s="40"/>
      <c r="V130" s="48"/>
      <c r="W130" s="48"/>
      <c r="X130" s="48">
        <v>11900</v>
      </c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9"/>
    </row>
    <row r="131" spans="1:35" x14ac:dyDescent="0.25">
      <c r="A131" s="48">
        <v>30</v>
      </c>
      <c r="B131" s="166" t="s">
        <v>228</v>
      </c>
      <c r="C131" s="166" t="s">
        <v>227</v>
      </c>
      <c r="D131" s="138">
        <f t="shared" si="7"/>
        <v>14976</v>
      </c>
      <c r="E131" s="48"/>
      <c r="F131" s="48"/>
      <c r="G131" s="35"/>
      <c r="H131" s="35"/>
      <c r="I131" s="35"/>
      <c r="J131" s="35"/>
      <c r="K131" s="35"/>
      <c r="L131" s="35"/>
      <c r="M131" s="48"/>
      <c r="N131" s="48">
        <v>14976</v>
      </c>
      <c r="O131" s="48"/>
      <c r="P131" s="48"/>
      <c r="Q131" s="48"/>
      <c r="R131" s="40"/>
      <c r="S131" s="40"/>
      <c r="T131" s="40"/>
      <c r="U131" s="40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9"/>
    </row>
    <row r="132" spans="1:35" x14ac:dyDescent="0.25">
      <c r="A132" s="48">
        <v>31</v>
      </c>
      <c r="B132" s="166" t="s">
        <v>248</v>
      </c>
      <c r="C132" s="166" t="s">
        <v>247</v>
      </c>
      <c r="D132" s="138">
        <f t="shared" si="7"/>
        <v>59720</v>
      </c>
      <c r="E132" s="48"/>
      <c r="F132" s="48"/>
      <c r="G132" s="35"/>
      <c r="H132" s="35"/>
      <c r="I132" s="35"/>
      <c r="J132" s="35"/>
      <c r="K132" s="35">
        <f>570*15</f>
        <v>8550</v>
      </c>
      <c r="L132" s="35">
        <v>1440</v>
      </c>
      <c r="M132" s="48">
        <v>10005</v>
      </c>
      <c r="N132" s="48"/>
      <c r="O132" s="48"/>
      <c r="P132" s="48"/>
      <c r="Q132" s="48"/>
      <c r="R132" s="40"/>
      <c r="S132" s="40"/>
      <c r="T132" s="40"/>
      <c r="U132" s="40"/>
      <c r="V132" s="48"/>
      <c r="W132" s="48"/>
      <c r="X132" s="48">
        <f>245*15</f>
        <v>3675</v>
      </c>
      <c r="Y132" s="48">
        <f>909*15+151*15</f>
        <v>15900</v>
      </c>
      <c r="Z132" s="48"/>
      <c r="AA132" s="48">
        <f>60*15+234*15</f>
        <v>4410</v>
      </c>
      <c r="AB132" s="48">
        <f>70*15</f>
        <v>1050</v>
      </c>
      <c r="AC132" s="48">
        <f>264*15</f>
        <v>3960</v>
      </c>
      <c r="AD132" s="48"/>
      <c r="AE132" s="48">
        <f>700*15</f>
        <v>10500</v>
      </c>
      <c r="AF132" s="48"/>
      <c r="AG132" s="48"/>
      <c r="AH132" s="48"/>
      <c r="AI132" s="49">
        <v>230</v>
      </c>
    </row>
    <row r="133" spans="1:35" x14ac:dyDescent="0.25">
      <c r="A133" s="48">
        <v>32</v>
      </c>
      <c r="B133" s="166" t="s">
        <v>694</v>
      </c>
      <c r="C133" s="166" t="s">
        <v>693</v>
      </c>
      <c r="D133" s="138">
        <f t="shared" si="7"/>
        <v>1600</v>
      </c>
      <c r="E133" s="48"/>
      <c r="F133" s="48"/>
      <c r="G133" s="35"/>
      <c r="H133" s="35"/>
      <c r="I133" s="35"/>
      <c r="J133" s="35"/>
      <c r="K133" s="35"/>
      <c r="L133" s="35"/>
      <c r="M133" s="48"/>
      <c r="N133" s="48"/>
      <c r="O133" s="48"/>
      <c r="P133" s="48"/>
      <c r="Q133" s="48"/>
      <c r="R133" s="40"/>
      <c r="S133" s="40"/>
      <c r="T133" s="40"/>
      <c r="U133" s="40"/>
      <c r="V133" s="48"/>
      <c r="W133" s="48"/>
      <c r="X133" s="48"/>
      <c r="Y133" s="48"/>
      <c r="Z133" s="48"/>
      <c r="AA133" s="48"/>
      <c r="AB133" s="48"/>
      <c r="AC133" s="48"/>
      <c r="AD133" s="48">
        <v>360</v>
      </c>
      <c r="AE133" s="48">
        <f>1242-2</f>
        <v>1240</v>
      </c>
      <c r="AF133" s="48"/>
      <c r="AG133" s="48"/>
      <c r="AH133" s="48"/>
      <c r="AI133" s="49"/>
    </row>
    <row r="134" spans="1:35" x14ac:dyDescent="0.25">
      <c r="A134" s="48">
        <v>33</v>
      </c>
      <c r="B134" s="166" t="s">
        <v>102</v>
      </c>
      <c r="C134" s="166" t="s">
        <v>354</v>
      </c>
      <c r="D134" s="138">
        <f t="shared" si="7"/>
        <v>317812</v>
      </c>
      <c r="E134" s="48"/>
      <c r="F134" s="48"/>
      <c r="G134" s="35"/>
      <c r="H134" s="35"/>
      <c r="I134" s="35"/>
      <c r="J134" s="35">
        <f>884*48</f>
        <v>42432</v>
      </c>
      <c r="K134" s="35"/>
      <c r="L134" s="35">
        <f>209*48+249*48+50000+27360</f>
        <v>99344</v>
      </c>
      <c r="M134" s="48">
        <f>336*48+706*48</f>
        <v>50016</v>
      </c>
      <c r="N134" s="48">
        <f>56*48</f>
        <v>2688</v>
      </c>
      <c r="O134" s="48">
        <v>2752</v>
      </c>
      <c r="P134" s="48"/>
      <c r="Q134" s="48"/>
      <c r="R134" s="40"/>
      <c r="S134" s="40"/>
      <c r="T134" s="40"/>
      <c r="U134" s="40"/>
      <c r="V134" s="48"/>
      <c r="W134" s="48"/>
      <c r="X134" s="48"/>
      <c r="Y134" s="48"/>
      <c r="Z134" s="48"/>
      <c r="AA134" s="48"/>
      <c r="AB134" s="48"/>
      <c r="AC134" s="48"/>
      <c r="AD134" s="48">
        <f>230*48</f>
        <v>11040</v>
      </c>
      <c r="AE134" s="48">
        <f>395*48</f>
        <v>18960</v>
      </c>
      <c r="AF134" s="48">
        <f>625*48</f>
        <v>30000</v>
      </c>
      <c r="AG134" s="48">
        <v>20000</v>
      </c>
      <c r="AH134" s="48">
        <v>20016</v>
      </c>
      <c r="AI134" s="49">
        <v>20564</v>
      </c>
    </row>
    <row r="135" spans="1:35" x14ac:dyDescent="0.25">
      <c r="A135" s="48">
        <v>34</v>
      </c>
      <c r="B135" s="166" t="s">
        <v>467</v>
      </c>
      <c r="C135" s="166" t="s">
        <v>466</v>
      </c>
      <c r="D135" s="138">
        <f t="shared" si="7"/>
        <v>15000</v>
      </c>
      <c r="E135" s="48"/>
      <c r="F135" s="48"/>
      <c r="G135" s="35"/>
      <c r="H135" s="35"/>
      <c r="I135" s="35"/>
      <c r="J135" s="35"/>
      <c r="K135" s="35"/>
      <c r="L135" s="35"/>
      <c r="M135" s="48"/>
      <c r="N135" s="48"/>
      <c r="O135" s="48"/>
      <c r="P135" s="48"/>
      <c r="Q135" s="48"/>
      <c r="R135" s="40"/>
      <c r="S135" s="40"/>
      <c r="T135" s="40"/>
      <c r="U135" s="40"/>
      <c r="V135" s="48"/>
      <c r="W135" s="48"/>
      <c r="X135" s="48"/>
      <c r="Y135" s="48"/>
      <c r="Z135" s="48"/>
      <c r="AA135" s="48"/>
      <c r="AB135" s="48"/>
      <c r="AC135" s="48">
        <v>15000</v>
      </c>
      <c r="AD135" s="48"/>
      <c r="AE135" s="48"/>
      <c r="AF135" s="48"/>
      <c r="AG135" s="48"/>
      <c r="AH135" s="48"/>
      <c r="AI135" s="49"/>
    </row>
    <row r="136" spans="1:35" x14ac:dyDescent="0.25">
      <c r="A136" s="48">
        <v>35</v>
      </c>
      <c r="B136" s="166" t="s">
        <v>274</v>
      </c>
      <c r="C136" s="166" t="s">
        <v>273</v>
      </c>
      <c r="D136" s="138">
        <f t="shared" si="7"/>
        <v>200000</v>
      </c>
      <c r="E136" s="48"/>
      <c r="F136" s="48"/>
      <c r="G136" s="35"/>
      <c r="H136" s="35"/>
      <c r="I136" s="35"/>
      <c r="J136" s="35">
        <f>215*48</f>
        <v>10320</v>
      </c>
      <c r="K136" s="35">
        <f>246*48</f>
        <v>11808</v>
      </c>
      <c r="L136" s="35">
        <v>27872</v>
      </c>
      <c r="M136" s="48"/>
      <c r="N136" s="48">
        <v>15000</v>
      </c>
      <c r="O136" s="48"/>
      <c r="P136" s="48"/>
      <c r="Q136" s="48">
        <f>521*48-8</f>
        <v>25000</v>
      </c>
      <c r="R136" s="40"/>
      <c r="S136" s="40"/>
      <c r="T136" s="40"/>
      <c r="U136" s="40"/>
      <c r="V136" s="48">
        <v>25000</v>
      </c>
      <c r="W136" s="48"/>
      <c r="X136" s="48">
        <f>313*48</f>
        <v>15024</v>
      </c>
      <c r="Y136" s="48">
        <v>9968</v>
      </c>
      <c r="Z136" s="48"/>
      <c r="AA136" s="48"/>
      <c r="AB136" s="48"/>
      <c r="AC136" s="48">
        <v>20008</v>
      </c>
      <c r="AD136" s="48">
        <v>10000</v>
      </c>
      <c r="AE136" s="48"/>
      <c r="AF136" s="48">
        <f>229*48+396*48</f>
        <v>30000</v>
      </c>
      <c r="AG136" s="48"/>
      <c r="AH136" s="48"/>
      <c r="AI136" s="49"/>
    </row>
    <row r="137" spans="1:35" x14ac:dyDescent="0.25">
      <c r="A137" s="48">
        <v>36</v>
      </c>
      <c r="B137" s="166" t="s">
        <v>764</v>
      </c>
      <c r="C137" s="166" t="s">
        <v>763</v>
      </c>
      <c r="D137" s="138">
        <f t="shared" si="7"/>
        <v>45000</v>
      </c>
      <c r="E137" s="48"/>
      <c r="F137" s="48"/>
      <c r="G137" s="35"/>
      <c r="H137" s="35"/>
      <c r="I137" s="35"/>
      <c r="J137" s="35"/>
      <c r="K137" s="35"/>
      <c r="L137" s="35"/>
      <c r="M137" s="48"/>
      <c r="N137" s="48"/>
      <c r="O137" s="48">
        <v>20000</v>
      </c>
      <c r="P137" s="48"/>
      <c r="Q137" s="48"/>
      <c r="R137" s="40"/>
      <c r="S137" s="40"/>
      <c r="T137" s="40"/>
      <c r="U137" s="40"/>
      <c r="V137" s="48"/>
      <c r="W137" s="48">
        <f>208*48</f>
        <v>9984</v>
      </c>
      <c r="X137" s="48"/>
      <c r="Y137" s="48"/>
      <c r="Z137" s="48"/>
      <c r="AA137" s="48"/>
      <c r="AB137" s="48"/>
      <c r="AC137" s="48"/>
      <c r="AD137" s="48"/>
      <c r="AE137" s="48"/>
      <c r="AF137" s="48">
        <v>15016</v>
      </c>
      <c r="AG137" s="48"/>
      <c r="AH137" s="48"/>
      <c r="AI137" s="49"/>
    </row>
    <row r="138" spans="1:35" x14ac:dyDescent="0.25">
      <c r="A138" s="48">
        <v>37</v>
      </c>
      <c r="B138" s="166" t="s">
        <v>151</v>
      </c>
      <c r="C138" s="166" t="s">
        <v>96</v>
      </c>
      <c r="D138" s="138">
        <f t="shared" si="7"/>
        <v>65000</v>
      </c>
      <c r="E138" s="48"/>
      <c r="F138" s="48"/>
      <c r="G138" s="35"/>
      <c r="H138" s="35"/>
      <c r="I138" s="35"/>
      <c r="J138" s="35"/>
      <c r="K138" s="35"/>
      <c r="L138" s="35"/>
      <c r="M138" s="48"/>
      <c r="N138" s="48"/>
      <c r="O138" s="48"/>
      <c r="P138" s="48"/>
      <c r="Q138" s="48"/>
      <c r="R138" s="40"/>
      <c r="S138" s="40"/>
      <c r="T138" s="40"/>
      <c r="U138" s="40"/>
      <c r="V138" s="48"/>
      <c r="W138" s="48">
        <v>9984</v>
      </c>
      <c r="X138" s="48"/>
      <c r="Y138" s="48"/>
      <c r="Z138" s="48">
        <v>20016</v>
      </c>
      <c r="AA138" s="48">
        <v>15008</v>
      </c>
      <c r="AB138" s="48">
        <f>362*48</f>
        <v>17376</v>
      </c>
      <c r="AC138" s="48">
        <v>2616</v>
      </c>
      <c r="AD138" s="48"/>
      <c r="AE138" s="48"/>
      <c r="AF138" s="48"/>
      <c r="AG138" s="48"/>
      <c r="AH138" s="48"/>
      <c r="AI138" s="49"/>
    </row>
    <row r="139" spans="1:35" x14ac:dyDescent="0.25">
      <c r="A139" s="48">
        <v>38</v>
      </c>
      <c r="B139" s="166" t="s">
        <v>758</v>
      </c>
      <c r="C139" s="166" t="s">
        <v>757</v>
      </c>
      <c r="D139" s="138">
        <f t="shared" si="7"/>
        <v>2000</v>
      </c>
      <c r="E139" s="48"/>
      <c r="F139" s="48"/>
      <c r="G139" s="35"/>
      <c r="H139" s="35"/>
      <c r="I139" s="35"/>
      <c r="J139" s="35"/>
      <c r="K139" s="35"/>
      <c r="L139" s="35"/>
      <c r="M139" s="48"/>
      <c r="N139" s="48"/>
      <c r="O139" s="48"/>
      <c r="P139" s="48"/>
      <c r="Q139" s="48"/>
      <c r="R139" s="40"/>
      <c r="S139" s="40"/>
      <c r="T139" s="40"/>
      <c r="U139" s="40"/>
      <c r="V139" s="48">
        <v>2000</v>
      </c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9"/>
    </row>
    <row r="140" spans="1:35" x14ac:dyDescent="0.25">
      <c r="A140" s="48">
        <v>39</v>
      </c>
      <c r="B140" s="176" t="s">
        <v>1216</v>
      </c>
      <c r="C140" s="176" t="s">
        <v>1215</v>
      </c>
      <c r="D140" s="138">
        <f t="shared" si="7"/>
        <v>10000</v>
      </c>
      <c r="E140" s="48"/>
      <c r="F140" s="48"/>
      <c r="G140" s="35"/>
      <c r="H140" s="35"/>
      <c r="I140" s="35"/>
      <c r="J140" s="35"/>
      <c r="K140" s="35"/>
      <c r="L140" s="35"/>
      <c r="M140" s="48"/>
      <c r="N140" s="48"/>
      <c r="O140" s="48"/>
      <c r="P140" s="48"/>
      <c r="Q140" s="48"/>
      <c r="R140" s="40"/>
      <c r="S140" s="40"/>
      <c r="T140" s="40"/>
      <c r="U140" s="40"/>
      <c r="V140" s="48"/>
      <c r="W140" s="48"/>
      <c r="X140" s="48"/>
      <c r="Y140" s="48"/>
      <c r="Z140" s="48"/>
      <c r="AA140" s="48"/>
      <c r="AB140" s="48"/>
      <c r="AC140" s="137"/>
      <c r="AD140" s="137"/>
      <c r="AE140" s="48">
        <v>10000</v>
      </c>
      <c r="AF140" s="48"/>
      <c r="AG140" s="48"/>
      <c r="AH140" s="48"/>
      <c r="AI140" s="49"/>
    </row>
    <row r="141" spans="1:35" x14ac:dyDescent="0.25">
      <c r="A141" s="48">
        <v>40</v>
      </c>
      <c r="B141" s="166" t="s">
        <v>813</v>
      </c>
      <c r="C141" s="166" t="s">
        <v>811</v>
      </c>
      <c r="D141" s="138">
        <f t="shared" si="7"/>
        <v>10000</v>
      </c>
      <c r="E141" s="48"/>
      <c r="F141" s="48"/>
      <c r="G141" s="35"/>
      <c r="H141" s="35"/>
      <c r="I141" s="35"/>
      <c r="J141" s="35"/>
      <c r="K141" s="35"/>
      <c r="L141" s="35"/>
      <c r="M141" s="48"/>
      <c r="N141" s="48"/>
      <c r="O141" s="48"/>
      <c r="P141" s="48"/>
      <c r="Q141" s="48"/>
      <c r="R141" s="40"/>
      <c r="S141" s="40"/>
      <c r="T141" s="40"/>
      <c r="U141" s="40"/>
      <c r="V141" s="48"/>
      <c r="W141" s="48"/>
      <c r="X141" s="48"/>
      <c r="Y141" s="48"/>
      <c r="Z141" s="48"/>
      <c r="AA141" s="48">
        <f>128*39</f>
        <v>4992</v>
      </c>
      <c r="AB141" s="48">
        <v>5008</v>
      </c>
      <c r="AC141" s="48"/>
      <c r="AD141" s="48"/>
      <c r="AE141" s="48"/>
      <c r="AF141" s="48"/>
      <c r="AG141" s="48"/>
      <c r="AH141" s="48"/>
      <c r="AI141" s="49"/>
    </row>
    <row r="142" spans="1:35" x14ac:dyDescent="0.25">
      <c r="A142" s="48">
        <v>41</v>
      </c>
      <c r="B142" s="166" t="s">
        <v>813</v>
      </c>
      <c r="C142" s="166" t="s">
        <v>812</v>
      </c>
      <c r="D142" s="138">
        <f t="shared" si="7"/>
        <v>0</v>
      </c>
      <c r="E142" s="48"/>
      <c r="F142" s="48"/>
      <c r="G142" s="35"/>
      <c r="H142" s="35"/>
      <c r="I142" s="35"/>
      <c r="J142" s="35"/>
      <c r="K142" s="35"/>
      <c r="L142" s="35"/>
      <c r="M142" s="48"/>
      <c r="N142" s="48"/>
      <c r="O142" s="48"/>
      <c r="P142" s="48"/>
      <c r="Q142" s="48"/>
      <c r="R142" s="40"/>
      <c r="S142" s="40"/>
      <c r="T142" s="40"/>
      <c r="U142" s="40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9"/>
    </row>
    <row r="143" spans="1:35" x14ac:dyDescent="0.25">
      <c r="A143" s="48">
        <v>42</v>
      </c>
      <c r="B143" s="166" t="s">
        <v>264</v>
      </c>
      <c r="C143" s="166" t="s">
        <v>263</v>
      </c>
      <c r="D143" s="138">
        <f t="shared" si="7"/>
        <v>0</v>
      </c>
      <c r="E143" s="48"/>
      <c r="F143" s="48"/>
      <c r="G143" s="35"/>
      <c r="H143" s="35"/>
      <c r="I143" s="35"/>
      <c r="J143" s="35"/>
      <c r="K143" s="35"/>
      <c r="L143" s="35"/>
      <c r="M143" s="48"/>
      <c r="N143" s="48"/>
      <c r="O143" s="48"/>
      <c r="P143" s="48"/>
      <c r="Q143" s="48"/>
      <c r="R143" s="40"/>
      <c r="S143" s="40"/>
      <c r="T143" s="40"/>
      <c r="U143" s="40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9"/>
    </row>
    <row r="144" spans="1:35" x14ac:dyDescent="0.25">
      <c r="A144" s="141" t="s">
        <v>140</v>
      </c>
      <c r="B144" s="33" t="s">
        <v>123</v>
      </c>
      <c r="C144" s="141" t="s">
        <v>141</v>
      </c>
      <c r="D144" s="143">
        <f t="shared" ref="D144:AI144" si="8">SUM(D145:D302)</f>
        <v>420544</v>
      </c>
      <c r="E144" s="143">
        <f t="shared" si="8"/>
        <v>15000</v>
      </c>
      <c r="F144" s="143">
        <f t="shared" si="8"/>
        <v>0</v>
      </c>
      <c r="G144" s="143">
        <f t="shared" si="8"/>
        <v>21838</v>
      </c>
      <c r="H144" s="143">
        <f t="shared" si="8"/>
        <v>15378</v>
      </c>
      <c r="I144" s="143">
        <f t="shared" si="8"/>
        <v>5400</v>
      </c>
      <c r="J144" s="143">
        <f t="shared" si="8"/>
        <v>13842</v>
      </c>
      <c r="K144" s="143">
        <f t="shared" si="8"/>
        <v>6516</v>
      </c>
      <c r="L144" s="143">
        <f t="shared" si="8"/>
        <v>4744</v>
      </c>
      <c r="M144" s="143">
        <f t="shared" si="8"/>
        <v>23550</v>
      </c>
      <c r="N144" s="143">
        <f t="shared" si="8"/>
        <v>6802</v>
      </c>
      <c r="O144" s="143">
        <f t="shared" si="8"/>
        <v>30006</v>
      </c>
      <c r="P144" s="143">
        <f t="shared" si="8"/>
        <v>2056</v>
      </c>
      <c r="Q144" s="143">
        <f t="shared" si="8"/>
        <v>4426</v>
      </c>
      <c r="R144" s="143">
        <f t="shared" si="8"/>
        <v>0</v>
      </c>
      <c r="S144" s="143">
        <f t="shared" si="8"/>
        <v>0</v>
      </c>
      <c r="T144" s="143">
        <f t="shared" si="8"/>
        <v>0</v>
      </c>
      <c r="U144" s="143">
        <f t="shared" si="8"/>
        <v>26748</v>
      </c>
      <c r="V144" s="143">
        <f t="shared" si="8"/>
        <v>17490</v>
      </c>
      <c r="W144" s="143">
        <f t="shared" si="8"/>
        <v>18894</v>
      </c>
      <c r="X144" s="143">
        <f t="shared" si="8"/>
        <v>30358</v>
      </c>
      <c r="Y144" s="143">
        <f t="shared" si="8"/>
        <v>7010</v>
      </c>
      <c r="Z144" s="143">
        <f t="shared" si="8"/>
        <v>19700</v>
      </c>
      <c r="AA144" s="143">
        <f t="shared" si="8"/>
        <v>25252</v>
      </c>
      <c r="AB144" s="143">
        <f t="shared" si="8"/>
        <v>3136</v>
      </c>
      <c r="AC144" s="143">
        <f t="shared" si="8"/>
        <v>17162</v>
      </c>
      <c r="AD144" s="143">
        <f t="shared" si="8"/>
        <v>2848</v>
      </c>
      <c r="AE144" s="143">
        <f t="shared" si="8"/>
        <v>5646</v>
      </c>
      <c r="AF144" s="143">
        <f t="shared" si="8"/>
        <v>23438</v>
      </c>
      <c r="AG144" s="143">
        <f t="shared" si="8"/>
        <v>9546</v>
      </c>
      <c r="AH144" s="143">
        <f t="shared" si="8"/>
        <v>8010</v>
      </c>
      <c r="AI144" s="143">
        <f t="shared" si="8"/>
        <v>55748</v>
      </c>
    </row>
    <row r="145" spans="1:35" x14ac:dyDescent="0.25">
      <c r="A145" s="48">
        <v>1</v>
      </c>
      <c r="B145" s="166" t="s">
        <v>547</v>
      </c>
      <c r="C145" s="166" t="s">
        <v>546</v>
      </c>
      <c r="D145" s="138">
        <f t="shared" ref="D145:D202" si="9">SUM(E145:AI145)</f>
        <v>400</v>
      </c>
      <c r="E145" s="48"/>
      <c r="F145" s="48"/>
      <c r="G145" s="35"/>
      <c r="H145" s="35"/>
      <c r="I145" s="35"/>
      <c r="J145" s="35"/>
      <c r="K145" s="35"/>
      <c r="L145" s="35"/>
      <c r="M145" s="48"/>
      <c r="N145" s="48">
        <v>400</v>
      </c>
      <c r="O145" s="48"/>
      <c r="P145" s="48"/>
      <c r="Q145" s="48"/>
      <c r="R145" s="40"/>
      <c r="S145" s="40"/>
      <c r="T145" s="40"/>
      <c r="U145" s="40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9"/>
    </row>
    <row r="146" spans="1:35" x14ac:dyDescent="0.25">
      <c r="A146" s="48">
        <v>2</v>
      </c>
      <c r="B146" s="166" t="s">
        <v>863</v>
      </c>
      <c r="C146" s="166" t="s">
        <v>862</v>
      </c>
      <c r="D146" s="138">
        <f t="shared" si="9"/>
        <v>0</v>
      </c>
      <c r="E146" s="48"/>
      <c r="F146" s="48"/>
      <c r="G146" s="35"/>
      <c r="H146" s="35"/>
      <c r="I146" s="35"/>
      <c r="J146" s="35"/>
      <c r="K146" s="35"/>
      <c r="L146" s="35"/>
      <c r="M146" s="48"/>
      <c r="N146" s="48"/>
      <c r="O146" s="48"/>
      <c r="P146" s="48"/>
      <c r="Q146" s="48"/>
      <c r="R146" s="40"/>
      <c r="S146" s="40"/>
      <c r="T146" s="40"/>
      <c r="U146" s="40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9"/>
    </row>
    <row r="147" spans="1:35" x14ac:dyDescent="0.25">
      <c r="A147" s="48">
        <v>3</v>
      </c>
      <c r="B147" s="166" t="s">
        <v>557</v>
      </c>
      <c r="C147" s="166" t="s">
        <v>556</v>
      </c>
      <c r="D147" s="138">
        <f t="shared" si="9"/>
        <v>2500</v>
      </c>
      <c r="E147" s="48"/>
      <c r="F147" s="48"/>
      <c r="G147" s="35"/>
      <c r="H147" s="35"/>
      <c r="I147" s="35"/>
      <c r="J147" s="35"/>
      <c r="K147" s="35"/>
      <c r="L147" s="35"/>
      <c r="M147" s="48"/>
      <c r="N147" s="48"/>
      <c r="O147" s="48"/>
      <c r="P147" s="48"/>
      <c r="Q147" s="137"/>
      <c r="R147" s="40"/>
      <c r="S147" s="40"/>
      <c r="T147" s="40"/>
      <c r="U147" s="40"/>
      <c r="V147" s="48"/>
      <c r="W147" s="48"/>
      <c r="X147" s="48"/>
      <c r="Y147" s="48">
        <v>2500</v>
      </c>
      <c r="Z147" s="48"/>
      <c r="AA147" s="48"/>
      <c r="AB147" s="48"/>
      <c r="AC147" s="48"/>
      <c r="AD147" s="137"/>
      <c r="AE147" s="48"/>
      <c r="AF147" s="48"/>
      <c r="AG147" s="48"/>
      <c r="AH147" s="48"/>
      <c r="AI147" s="49"/>
    </row>
    <row r="148" spans="1:35" x14ac:dyDescent="0.25">
      <c r="A148" s="48">
        <v>4</v>
      </c>
      <c r="B148" s="166" t="s">
        <v>555</v>
      </c>
      <c r="C148" s="166" t="s">
        <v>554</v>
      </c>
      <c r="D148" s="138">
        <f t="shared" si="9"/>
        <v>0</v>
      </c>
      <c r="E148" s="48"/>
      <c r="F148" s="48"/>
      <c r="G148" s="35"/>
      <c r="H148" s="35"/>
      <c r="I148" s="35"/>
      <c r="J148" s="35"/>
      <c r="K148" s="35"/>
      <c r="L148" s="35"/>
      <c r="M148" s="48"/>
      <c r="N148" s="48"/>
      <c r="O148" s="48"/>
      <c r="P148" s="48"/>
      <c r="Q148" s="48"/>
      <c r="R148" s="40"/>
      <c r="S148" s="40"/>
      <c r="T148" s="40"/>
      <c r="U148" s="40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9"/>
    </row>
    <row r="149" spans="1:35" x14ac:dyDescent="0.25">
      <c r="A149" s="48">
        <v>5</v>
      </c>
      <c r="B149" s="166" t="s">
        <v>551</v>
      </c>
      <c r="C149" s="166" t="s">
        <v>550</v>
      </c>
      <c r="D149" s="138">
        <f t="shared" si="9"/>
        <v>2500</v>
      </c>
      <c r="E149" s="48"/>
      <c r="F149" s="48"/>
      <c r="G149" s="35"/>
      <c r="H149" s="35"/>
      <c r="I149" s="35"/>
      <c r="J149" s="35"/>
      <c r="K149" s="35"/>
      <c r="L149" s="35"/>
      <c r="M149" s="48"/>
      <c r="N149" s="48"/>
      <c r="O149" s="48"/>
      <c r="P149" s="48"/>
      <c r="Q149" s="48"/>
      <c r="R149" s="40"/>
      <c r="S149" s="40"/>
      <c r="T149" s="40"/>
      <c r="U149" s="40"/>
      <c r="V149" s="48"/>
      <c r="W149" s="48"/>
      <c r="X149" s="48"/>
      <c r="Y149" s="48">
        <v>2500</v>
      </c>
      <c r="Z149" s="48"/>
      <c r="AA149" s="48"/>
      <c r="AB149" s="48"/>
      <c r="AC149" s="48"/>
      <c r="AD149" s="48"/>
      <c r="AE149" s="48"/>
      <c r="AF149" s="48"/>
      <c r="AG149" s="48"/>
      <c r="AH149" s="48"/>
      <c r="AI149" s="49"/>
    </row>
    <row r="150" spans="1:35" x14ac:dyDescent="0.25">
      <c r="A150" s="48">
        <v>6</v>
      </c>
      <c r="B150" s="166" t="s">
        <v>675</v>
      </c>
      <c r="C150" s="166" t="s">
        <v>670</v>
      </c>
      <c r="D150" s="138">
        <f t="shared" si="9"/>
        <v>60</v>
      </c>
      <c r="E150" s="48"/>
      <c r="F150" s="48"/>
      <c r="G150" s="35"/>
      <c r="H150" s="35"/>
      <c r="I150" s="35"/>
      <c r="J150" s="35"/>
      <c r="K150" s="35"/>
      <c r="L150" s="35"/>
      <c r="M150" s="48"/>
      <c r="N150" s="48"/>
      <c r="O150" s="48"/>
      <c r="P150" s="48"/>
      <c r="Q150" s="48"/>
      <c r="R150" s="40"/>
      <c r="S150" s="40"/>
      <c r="T150" s="40"/>
      <c r="U150" s="40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>
        <v>60</v>
      </c>
      <c r="AG150" s="48"/>
      <c r="AH150" s="48"/>
      <c r="AI150" s="49"/>
    </row>
    <row r="151" spans="1:35" x14ac:dyDescent="0.25">
      <c r="A151" s="48">
        <v>7</v>
      </c>
      <c r="B151" s="166" t="s">
        <v>827</v>
      </c>
      <c r="C151" s="166" t="s">
        <v>825</v>
      </c>
      <c r="D151" s="138">
        <f t="shared" si="9"/>
        <v>1000</v>
      </c>
      <c r="E151" s="48"/>
      <c r="F151" s="48"/>
      <c r="G151" s="35"/>
      <c r="H151" s="35"/>
      <c r="I151" s="35"/>
      <c r="J151" s="35"/>
      <c r="K151" s="35"/>
      <c r="L151" s="35"/>
      <c r="M151" s="48"/>
      <c r="N151" s="48"/>
      <c r="O151" s="48"/>
      <c r="P151" s="48"/>
      <c r="Q151" s="48"/>
      <c r="R151" s="40"/>
      <c r="S151" s="40"/>
      <c r="T151" s="40"/>
      <c r="U151" s="40"/>
      <c r="V151" s="48"/>
      <c r="W151" s="48"/>
      <c r="X151" s="48"/>
      <c r="Y151" s="48"/>
      <c r="Z151" s="48"/>
      <c r="AA151" s="48">
        <v>1000</v>
      </c>
      <c r="AB151" s="48"/>
      <c r="AC151" s="48"/>
      <c r="AD151" s="48"/>
      <c r="AE151" s="48"/>
      <c r="AF151" s="48"/>
      <c r="AG151" s="48"/>
      <c r="AH151" s="48"/>
      <c r="AI151" s="49"/>
    </row>
    <row r="152" spans="1:35" x14ac:dyDescent="0.25">
      <c r="A152" s="48">
        <v>8</v>
      </c>
      <c r="B152" s="176" t="s">
        <v>1136</v>
      </c>
      <c r="C152" s="176" t="s">
        <v>1133</v>
      </c>
      <c r="D152" s="138">
        <f t="shared" si="9"/>
        <v>9200</v>
      </c>
      <c r="E152" s="48"/>
      <c r="F152" s="48"/>
      <c r="G152" s="35"/>
      <c r="H152" s="35"/>
      <c r="I152" s="35"/>
      <c r="J152" s="35"/>
      <c r="K152" s="35"/>
      <c r="L152" s="35"/>
      <c r="M152" s="48"/>
      <c r="N152" s="48"/>
      <c r="O152" s="48"/>
      <c r="P152" s="48"/>
      <c r="Q152" s="48"/>
      <c r="R152" s="40"/>
      <c r="S152" s="40"/>
      <c r="T152" s="40"/>
      <c r="U152" s="40"/>
      <c r="V152" s="48"/>
      <c r="W152" s="48"/>
      <c r="X152" s="48"/>
      <c r="Y152" s="48"/>
      <c r="Z152" s="48">
        <v>9200</v>
      </c>
      <c r="AA152" s="48"/>
      <c r="AB152" s="48"/>
      <c r="AC152" s="48"/>
      <c r="AD152" s="48"/>
      <c r="AE152" s="48"/>
      <c r="AF152" s="48"/>
      <c r="AG152" s="48"/>
      <c r="AH152" s="48"/>
      <c r="AI152" s="49"/>
    </row>
    <row r="153" spans="1:35" x14ac:dyDescent="0.25">
      <c r="A153" s="48">
        <v>9</v>
      </c>
      <c r="B153" s="176" t="s">
        <v>1137</v>
      </c>
      <c r="C153" s="176" t="s">
        <v>1134</v>
      </c>
      <c r="D153" s="138">
        <f t="shared" si="9"/>
        <v>1500</v>
      </c>
      <c r="E153" s="48"/>
      <c r="F153" s="48"/>
      <c r="G153" s="35"/>
      <c r="H153" s="35"/>
      <c r="I153" s="35"/>
      <c r="J153" s="35"/>
      <c r="K153" s="35"/>
      <c r="L153" s="35"/>
      <c r="M153" s="48"/>
      <c r="N153" s="48"/>
      <c r="O153" s="48"/>
      <c r="P153" s="48"/>
      <c r="Q153" s="48"/>
      <c r="R153" s="40"/>
      <c r="S153" s="40"/>
      <c r="T153" s="40"/>
      <c r="U153" s="40"/>
      <c r="V153" s="48"/>
      <c r="W153" s="48"/>
      <c r="X153" s="48"/>
      <c r="Y153" s="48"/>
      <c r="Z153" s="48">
        <v>1500</v>
      </c>
      <c r="AA153" s="48"/>
      <c r="AB153" s="48"/>
      <c r="AC153" s="48"/>
      <c r="AD153" s="48"/>
      <c r="AE153" s="48"/>
      <c r="AF153" s="48"/>
      <c r="AG153" s="48"/>
      <c r="AH153" s="48"/>
      <c r="AI153" s="49"/>
    </row>
    <row r="154" spans="1:35" x14ac:dyDescent="0.25">
      <c r="A154" s="48">
        <v>10</v>
      </c>
      <c r="B154" s="176" t="s">
        <v>1138</v>
      </c>
      <c r="C154" s="176" t="s">
        <v>1135</v>
      </c>
      <c r="D154" s="138">
        <f t="shared" si="9"/>
        <v>400</v>
      </c>
      <c r="E154" s="48"/>
      <c r="F154" s="48"/>
      <c r="G154" s="35"/>
      <c r="H154" s="35"/>
      <c r="I154" s="35"/>
      <c r="J154" s="35"/>
      <c r="K154" s="35"/>
      <c r="L154" s="35"/>
      <c r="M154" s="48"/>
      <c r="N154" s="48"/>
      <c r="O154" s="48"/>
      <c r="P154" s="48"/>
      <c r="Q154" s="48"/>
      <c r="R154" s="40"/>
      <c r="S154" s="40"/>
      <c r="T154" s="40"/>
      <c r="U154" s="40"/>
      <c r="V154" s="48"/>
      <c r="W154" s="48"/>
      <c r="X154" s="48"/>
      <c r="Y154" s="48"/>
      <c r="Z154" s="48">
        <v>400</v>
      </c>
      <c r="AA154" s="48"/>
      <c r="AB154" s="48"/>
      <c r="AC154" s="48"/>
      <c r="AD154" s="48"/>
      <c r="AE154" s="48"/>
      <c r="AF154" s="48"/>
      <c r="AG154" s="48"/>
      <c r="AH154" s="48"/>
      <c r="AI154" s="49"/>
    </row>
    <row r="155" spans="1:35" x14ac:dyDescent="0.25">
      <c r="A155" s="48">
        <v>11</v>
      </c>
      <c r="B155" s="176" t="s">
        <v>869</v>
      </c>
      <c r="C155" s="176" t="s">
        <v>868</v>
      </c>
      <c r="D155" s="138">
        <f t="shared" si="9"/>
        <v>5000</v>
      </c>
      <c r="E155" s="48"/>
      <c r="F155" s="48"/>
      <c r="G155" s="35"/>
      <c r="H155" s="35"/>
      <c r="I155" s="35"/>
      <c r="J155" s="35"/>
      <c r="K155" s="35"/>
      <c r="L155" s="35"/>
      <c r="M155" s="48"/>
      <c r="N155" s="48"/>
      <c r="O155" s="48"/>
      <c r="P155" s="48"/>
      <c r="Q155" s="48"/>
      <c r="R155" s="40"/>
      <c r="S155" s="40"/>
      <c r="T155" s="40"/>
      <c r="U155" s="40">
        <v>5000</v>
      </c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9"/>
    </row>
    <row r="156" spans="1:35" x14ac:dyDescent="0.25">
      <c r="A156" s="48">
        <v>12</v>
      </c>
      <c r="B156" s="176" t="s">
        <v>925</v>
      </c>
      <c r="C156" s="176" t="s">
        <v>924</v>
      </c>
      <c r="D156" s="138">
        <f t="shared" si="9"/>
        <v>4000</v>
      </c>
      <c r="E156" s="48"/>
      <c r="F156" s="48"/>
      <c r="G156" s="35"/>
      <c r="H156" s="35"/>
      <c r="I156" s="35"/>
      <c r="J156" s="35"/>
      <c r="K156" s="35"/>
      <c r="L156" s="35"/>
      <c r="M156" s="48"/>
      <c r="N156" s="48"/>
      <c r="O156" s="48"/>
      <c r="P156" s="48"/>
      <c r="Q156" s="48"/>
      <c r="R156" s="40"/>
      <c r="S156" s="40"/>
      <c r="T156" s="40"/>
      <c r="U156" s="40"/>
      <c r="V156" s="48"/>
      <c r="W156" s="48">
        <v>4000</v>
      </c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9"/>
    </row>
    <row r="157" spans="1:35" x14ac:dyDescent="0.25">
      <c r="A157" s="48">
        <v>13</v>
      </c>
      <c r="B157" s="176" t="s">
        <v>930</v>
      </c>
      <c r="C157" s="176" t="s">
        <v>928</v>
      </c>
      <c r="D157" s="138">
        <f t="shared" si="9"/>
        <v>0</v>
      </c>
      <c r="E157" s="48"/>
      <c r="F157" s="48"/>
      <c r="G157" s="35"/>
      <c r="H157" s="35"/>
      <c r="I157" s="35"/>
      <c r="J157" s="35"/>
      <c r="K157" s="35"/>
      <c r="L157" s="35"/>
      <c r="M157" s="48"/>
      <c r="N157" s="48"/>
      <c r="O157" s="48"/>
      <c r="P157" s="48"/>
      <c r="Q157" s="48"/>
      <c r="R157" s="40"/>
      <c r="S157" s="40"/>
      <c r="T157" s="40"/>
      <c r="U157" s="40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9"/>
    </row>
    <row r="158" spans="1:35" x14ac:dyDescent="0.25">
      <c r="A158" s="48">
        <v>14</v>
      </c>
      <c r="B158" s="176" t="s">
        <v>931</v>
      </c>
      <c r="C158" s="176" t="s">
        <v>929</v>
      </c>
      <c r="D158" s="138">
        <f t="shared" si="9"/>
        <v>0</v>
      </c>
      <c r="E158" s="48"/>
      <c r="F158" s="48"/>
      <c r="G158" s="35"/>
      <c r="H158" s="35"/>
      <c r="I158" s="35"/>
      <c r="J158" s="35"/>
      <c r="K158" s="35"/>
      <c r="L158" s="35"/>
      <c r="M158" s="48"/>
      <c r="N158" s="48"/>
      <c r="O158" s="48"/>
      <c r="P158" s="48"/>
      <c r="Q158" s="48"/>
      <c r="R158" s="40"/>
      <c r="S158" s="40"/>
      <c r="T158" s="40"/>
      <c r="U158" s="40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9"/>
    </row>
    <row r="159" spans="1:35" x14ac:dyDescent="0.25">
      <c r="A159" s="48">
        <v>15</v>
      </c>
      <c r="B159" s="176" t="s">
        <v>927</v>
      </c>
      <c r="C159" s="176" t="s">
        <v>926</v>
      </c>
      <c r="D159" s="138">
        <f t="shared" si="9"/>
        <v>0</v>
      </c>
      <c r="E159" s="48"/>
      <c r="F159" s="48"/>
      <c r="G159" s="35"/>
      <c r="H159" s="35"/>
      <c r="I159" s="35"/>
      <c r="J159" s="35"/>
      <c r="K159" s="35"/>
      <c r="L159" s="35"/>
      <c r="M159" s="48"/>
      <c r="N159" s="48"/>
      <c r="O159" s="48"/>
      <c r="P159" s="48"/>
      <c r="Q159" s="48"/>
      <c r="R159" s="40"/>
      <c r="S159" s="40"/>
      <c r="T159" s="40"/>
      <c r="U159" s="40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9"/>
    </row>
    <row r="160" spans="1:35" x14ac:dyDescent="0.25">
      <c r="A160" s="48">
        <v>16</v>
      </c>
      <c r="B160" s="166" t="s">
        <v>828</v>
      </c>
      <c r="C160" s="166" t="s">
        <v>826</v>
      </c>
      <c r="D160" s="138">
        <f t="shared" si="9"/>
        <v>500</v>
      </c>
      <c r="E160" s="48"/>
      <c r="F160" s="48"/>
      <c r="G160" s="35"/>
      <c r="H160" s="35"/>
      <c r="I160" s="35"/>
      <c r="J160" s="35"/>
      <c r="K160" s="35"/>
      <c r="L160" s="35"/>
      <c r="M160" s="48"/>
      <c r="N160" s="48"/>
      <c r="O160" s="48"/>
      <c r="P160" s="48"/>
      <c r="Q160" s="48"/>
      <c r="R160" s="40"/>
      <c r="S160" s="40"/>
      <c r="T160" s="40"/>
      <c r="U160" s="40"/>
      <c r="V160" s="48"/>
      <c r="W160" s="48"/>
      <c r="X160" s="48"/>
      <c r="Y160" s="48"/>
      <c r="Z160" s="48"/>
      <c r="AA160" s="48"/>
      <c r="AB160" s="48"/>
      <c r="AC160" s="48"/>
      <c r="AD160" s="48"/>
      <c r="AE160" s="48">
        <v>500</v>
      </c>
      <c r="AF160" s="48"/>
      <c r="AG160" s="48"/>
      <c r="AH160" s="48"/>
      <c r="AI160" s="49"/>
    </row>
    <row r="161" spans="1:35" x14ac:dyDescent="0.25">
      <c r="A161" s="48">
        <v>17</v>
      </c>
      <c r="B161" s="176" t="s">
        <v>893</v>
      </c>
      <c r="C161" s="176" t="s">
        <v>892</v>
      </c>
      <c r="D161" s="138">
        <f t="shared" si="9"/>
        <v>15000</v>
      </c>
      <c r="E161" s="48"/>
      <c r="F161" s="48"/>
      <c r="G161" s="35">
        <f>250*15+750*15</f>
        <v>15000</v>
      </c>
      <c r="H161" s="35"/>
      <c r="I161" s="35"/>
      <c r="J161" s="35"/>
      <c r="K161" s="35"/>
      <c r="L161" s="35"/>
      <c r="M161" s="48"/>
      <c r="N161" s="48"/>
      <c r="O161" s="48"/>
      <c r="P161" s="48"/>
      <c r="Q161" s="48"/>
      <c r="R161" s="40"/>
      <c r="S161" s="40"/>
      <c r="T161" s="40"/>
      <c r="U161" s="40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9"/>
    </row>
    <row r="162" spans="1:35" x14ac:dyDescent="0.25">
      <c r="A162" s="48">
        <v>18</v>
      </c>
      <c r="B162" s="176" t="s">
        <v>1027</v>
      </c>
      <c r="C162" s="176" t="s">
        <v>1025</v>
      </c>
      <c r="D162" s="138">
        <f t="shared" si="9"/>
        <v>5200</v>
      </c>
      <c r="E162" s="48"/>
      <c r="F162" s="48"/>
      <c r="G162" s="35"/>
      <c r="H162" s="35"/>
      <c r="I162" s="35"/>
      <c r="J162" s="35"/>
      <c r="K162" s="35"/>
      <c r="L162" s="35"/>
      <c r="M162" s="48"/>
      <c r="N162" s="48"/>
      <c r="O162" s="48"/>
      <c r="P162" s="48">
        <v>600</v>
      </c>
      <c r="Q162" s="48">
        <f>737*6+4</f>
        <v>4426</v>
      </c>
      <c r="R162" s="40"/>
      <c r="S162" s="40"/>
      <c r="T162" s="40"/>
      <c r="U162" s="40">
        <v>168</v>
      </c>
      <c r="V162" s="48"/>
      <c r="W162" s="48"/>
      <c r="X162" s="48"/>
      <c r="Y162" s="48"/>
      <c r="Z162" s="48"/>
      <c r="AA162" s="48"/>
      <c r="AB162" s="48">
        <v>6</v>
      </c>
      <c r="AC162" s="48"/>
      <c r="AD162" s="48"/>
      <c r="AE162" s="48"/>
      <c r="AF162" s="48"/>
      <c r="AG162" s="48"/>
      <c r="AH162" s="48"/>
      <c r="AI162" s="49"/>
    </row>
    <row r="163" spans="1:35" x14ac:dyDescent="0.25">
      <c r="A163" s="48">
        <v>19</v>
      </c>
      <c r="B163" s="176" t="s">
        <v>1028</v>
      </c>
      <c r="C163" s="176" t="s">
        <v>1026</v>
      </c>
      <c r="D163" s="138">
        <f t="shared" si="9"/>
        <v>30000</v>
      </c>
      <c r="E163" s="48"/>
      <c r="F163" s="48"/>
      <c r="G163" s="35"/>
      <c r="H163" s="35"/>
      <c r="I163" s="35"/>
      <c r="J163" s="35"/>
      <c r="K163" s="35"/>
      <c r="L163" s="35"/>
      <c r="M163" s="48"/>
      <c r="N163" s="48"/>
      <c r="O163" s="48">
        <f>500*30+500*30</f>
        <v>30000</v>
      </c>
      <c r="P163" s="48"/>
      <c r="Q163" s="48"/>
      <c r="R163" s="40"/>
      <c r="S163" s="40"/>
      <c r="T163" s="40"/>
      <c r="U163" s="40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9"/>
    </row>
    <row r="164" spans="1:35" x14ac:dyDescent="0.25">
      <c r="A164" s="48">
        <v>20</v>
      </c>
      <c r="B164" s="166" t="s">
        <v>676</v>
      </c>
      <c r="C164" s="166" t="s">
        <v>671</v>
      </c>
      <c r="D164" s="138">
        <f t="shared" si="9"/>
        <v>340</v>
      </c>
      <c r="E164" s="48"/>
      <c r="F164" s="48"/>
      <c r="G164" s="35"/>
      <c r="H164" s="35"/>
      <c r="I164" s="35"/>
      <c r="J164" s="35"/>
      <c r="K164" s="35"/>
      <c r="L164" s="35"/>
      <c r="M164" s="48"/>
      <c r="N164" s="48"/>
      <c r="O164" s="48"/>
      <c r="P164" s="48"/>
      <c r="Q164" s="48"/>
      <c r="R164" s="40"/>
      <c r="S164" s="40"/>
      <c r="T164" s="40"/>
      <c r="U164" s="40"/>
      <c r="V164" s="48"/>
      <c r="W164" s="48"/>
      <c r="X164" s="48"/>
      <c r="Y164" s="48"/>
      <c r="Z164" s="48"/>
      <c r="AA164" s="48"/>
      <c r="AB164" s="48"/>
      <c r="AC164" s="48"/>
      <c r="AD164" s="48">
        <v>100</v>
      </c>
      <c r="AE164" s="48"/>
      <c r="AF164" s="48">
        <v>240</v>
      </c>
      <c r="AG164" s="48"/>
      <c r="AH164" s="48"/>
      <c r="AI164" s="49"/>
    </row>
    <row r="165" spans="1:35" x14ac:dyDescent="0.25">
      <c r="A165" s="48">
        <v>22</v>
      </c>
      <c r="B165" s="176" t="s">
        <v>1101</v>
      </c>
      <c r="C165" s="176" t="s">
        <v>1097</v>
      </c>
      <c r="D165" s="138">
        <f t="shared" si="9"/>
        <v>2500</v>
      </c>
      <c r="E165" s="48"/>
      <c r="F165" s="48"/>
      <c r="G165" s="35"/>
      <c r="H165" s="35"/>
      <c r="I165" s="35"/>
      <c r="J165" s="35"/>
      <c r="K165" s="35"/>
      <c r="L165" s="35"/>
      <c r="M165" s="48"/>
      <c r="N165" s="48"/>
      <c r="O165" s="48"/>
      <c r="P165" s="48"/>
      <c r="Q165" s="48"/>
      <c r="R165" s="40"/>
      <c r="S165" s="40"/>
      <c r="T165" s="40"/>
      <c r="U165" s="40"/>
      <c r="V165" s="48"/>
      <c r="W165" s="48"/>
      <c r="X165" s="48"/>
      <c r="Y165" s="48"/>
      <c r="Z165" s="48">
        <v>2500</v>
      </c>
      <c r="AA165" s="48"/>
      <c r="AB165" s="48"/>
      <c r="AC165" s="48"/>
      <c r="AD165" s="48"/>
      <c r="AE165" s="48"/>
      <c r="AF165" s="48"/>
      <c r="AG165" s="48"/>
      <c r="AH165" s="48"/>
      <c r="AI165" s="49"/>
    </row>
    <row r="166" spans="1:35" x14ac:dyDescent="0.25">
      <c r="A166" s="48">
        <v>23</v>
      </c>
      <c r="B166" s="176" t="s">
        <v>1102</v>
      </c>
      <c r="C166" s="176" t="s">
        <v>1098</v>
      </c>
      <c r="D166" s="138">
        <f t="shared" si="9"/>
        <v>2500</v>
      </c>
      <c r="E166" s="48"/>
      <c r="F166" s="48"/>
      <c r="G166" s="35"/>
      <c r="H166" s="35"/>
      <c r="I166" s="35"/>
      <c r="J166" s="35"/>
      <c r="K166" s="35"/>
      <c r="L166" s="35"/>
      <c r="M166" s="48"/>
      <c r="N166" s="48"/>
      <c r="O166" s="48"/>
      <c r="P166" s="48"/>
      <c r="Q166" s="48"/>
      <c r="R166" s="40"/>
      <c r="S166" s="40"/>
      <c r="T166" s="40"/>
      <c r="U166" s="40"/>
      <c r="V166" s="48"/>
      <c r="W166" s="48"/>
      <c r="X166" s="48"/>
      <c r="Y166" s="48"/>
      <c r="Z166" s="48">
        <v>2500</v>
      </c>
      <c r="AA166" s="48"/>
      <c r="AB166" s="48"/>
      <c r="AC166" s="48"/>
      <c r="AD166" s="48"/>
      <c r="AE166" s="48"/>
      <c r="AF166" s="48"/>
      <c r="AG166" s="48"/>
      <c r="AH166" s="48"/>
      <c r="AI166" s="49"/>
    </row>
    <row r="167" spans="1:35" x14ac:dyDescent="0.25">
      <c r="A167" s="48">
        <v>24</v>
      </c>
      <c r="B167" s="176" t="s">
        <v>1103</v>
      </c>
      <c r="C167" s="176" t="s">
        <v>1099</v>
      </c>
      <c r="D167" s="138">
        <f t="shared" si="9"/>
        <v>500</v>
      </c>
      <c r="E167" s="48"/>
      <c r="F167" s="48"/>
      <c r="G167" s="35"/>
      <c r="H167" s="35"/>
      <c r="I167" s="35"/>
      <c r="J167" s="35"/>
      <c r="K167" s="35"/>
      <c r="L167" s="35"/>
      <c r="M167" s="48"/>
      <c r="N167" s="48"/>
      <c r="O167" s="48"/>
      <c r="P167" s="48"/>
      <c r="Q167" s="48"/>
      <c r="R167" s="40"/>
      <c r="S167" s="40"/>
      <c r="T167" s="40"/>
      <c r="U167" s="40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>
        <v>500</v>
      </c>
      <c r="AG167" s="48"/>
      <c r="AH167" s="48"/>
      <c r="AI167" s="49"/>
    </row>
    <row r="168" spans="1:35" x14ac:dyDescent="0.25">
      <c r="A168" s="48">
        <v>25</v>
      </c>
      <c r="B168" s="176" t="s">
        <v>1104</v>
      </c>
      <c r="C168" s="176" t="s">
        <v>1100</v>
      </c>
      <c r="D168" s="138">
        <f t="shared" si="9"/>
        <v>500</v>
      </c>
      <c r="E168" s="48"/>
      <c r="F168" s="48"/>
      <c r="G168" s="35"/>
      <c r="H168" s="35"/>
      <c r="I168" s="35"/>
      <c r="J168" s="35"/>
      <c r="K168" s="35"/>
      <c r="L168" s="35"/>
      <c r="M168" s="48"/>
      <c r="N168" s="48"/>
      <c r="O168" s="48"/>
      <c r="P168" s="48"/>
      <c r="Q168" s="48"/>
      <c r="R168" s="40"/>
      <c r="S168" s="40"/>
      <c r="T168" s="40"/>
      <c r="U168" s="40"/>
      <c r="V168" s="48"/>
      <c r="W168" s="48"/>
      <c r="X168" s="48"/>
      <c r="Y168" s="48"/>
      <c r="Z168" s="48"/>
      <c r="AA168" s="48"/>
      <c r="AB168" s="48"/>
      <c r="AC168" s="48"/>
      <c r="AD168" s="48"/>
      <c r="AE168" s="48">
        <v>500</v>
      </c>
      <c r="AF168" s="48"/>
      <c r="AG168" s="48"/>
      <c r="AH168" s="48"/>
      <c r="AI168" s="49"/>
    </row>
    <row r="169" spans="1:35" x14ac:dyDescent="0.25">
      <c r="A169" s="48">
        <v>26</v>
      </c>
      <c r="B169" s="166" t="s">
        <v>677</v>
      </c>
      <c r="C169" s="166" t="s">
        <v>672</v>
      </c>
      <c r="D169" s="138">
        <f t="shared" si="9"/>
        <v>80</v>
      </c>
      <c r="E169" s="48"/>
      <c r="F169" s="48"/>
      <c r="G169" s="35"/>
      <c r="H169" s="35"/>
      <c r="I169" s="35"/>
      <c r="J169" s="35">
        <v>80</v>
      </c>
      <c r="K169" s="35"/>
      <c r="L169" s="35"/>
      <c r="M169" s="48"/>
      <c r="N169" s="48"/>
      <c r="O169" s="48"/>
      <c r="P169" s="48"/>
      <c r="Q169" s="48"/>
      <c r="R169" s="40"/>
      <c r="S169" s="40"/>
      <c r="T169" s="40"/>
      <c r="U169" s="40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9"/>
    </row>
    <row r="170" spans="1:35" x14ac:dyDescent="0.25">
      <c r="A170" s="48">
        <v>27</v>
      </c>
      <c r="B170" s="176" t="s">
        <v>1107</v>
      </c>
      <c r="C170" s="176" t="s">
        <v>1105</v>
      </c>
      <c r="D170" s="138">
        <f t="shared" si="9"/>
        <v>500</v>
      </c>
      <c r="E170" s="48"/>
      <c r="F170" s="48"/>
      <c r="G170" s="35"/>
      <c r="H170" s="35"/>
      <c r="I170" s="35"/>
      <c r="J170" s="35"/>
      <c r="K170" s="35"/>
      <c r="L170" s="35"/>
      <c r="M170" s="48"/>
      <c r="N170" s="48"/>
      <c r="O170" s="48"/>
      <c r="P170" s="48"/>
      <c r="Q170" s="48"/>
      <c r="R170" s="40"/>
      <c r="S170" s="40"/>
      <c r="T170" s="40"/>
      <c r="U170" s="40"/>
      <c r="V170" s="48"/>
      <c r="W170" s="48"/>
      <c r="X170" s="48"/>
      <c r="Y170" s="48"/>
      <c r="Z170" s="48"/>
      <c r="AA170" s="48"/>
      <c r="AB170" s="48"/>
      <c r="AC170" s="48"/>
      <c r="AD170" s="48"/>
      <c r="AE170" s="48">
        <v>500</v>
      </c>
      <c r="AF170" s="48"/>
      <c r="AG170" s="48"/>
      <c r="AH170" s="48"/>
      <c r="AI170" s="49"/>
    </row>
    <row r="171" spans="1:35" x14ac:dyDescent="0.25">
      <c r="A171" s="48">
        <v>28</v>
      </c>
      <c r="B171" s="176" t="s">
        <v>1108</v>
      </c>
      <c r="C171" s="176" t="s">
        <v>1106</v>
      </c>
      <c r="D171" s="138">
        <f t="shared" si="9"/>
        <v>500</v>
      </c>
      <c r="E171" s="48"/>
      <c r="F171" s="48"/>
      <c r="G171" s="35"/>
      <c r="H171" s="35"/>
      <c r="I171" s="35"/>
      <c r="J171" s="35"/>
      <c r="K171" s="35"/>
      <c r="L171" s="35"/>
      <c r="M171" s="48"/>
      <c r="N171" s="48"/>
      <c r="O171" s="48"/>
      <c r="P171" s="48"/>
      <c r="Q171" s="48"/>
      <c r="R171" s="40"/>
      <c r="S171" s="40"/>
      <c r="T171" s="40"/>
      <c r="U171" s="40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>
        <f>75+425</f>
        <v>500</v>
      </c>
      <c r="AG171" s="48"/>
      <c r="AH171" s="48"/>
      <c r="AI171" s="49"/>
    </row>
    <row r="172" spans="1:35" x14ac:dyDescent="0.25">
      <c r="A172" s="48">
        <v>29</v>
      </c>
      <c r="B172" s="176" t="s">
        <v>1111</v>
      </c>
      <c r="C172" s="176" t="s">
        <v>1109</v>
      </c>
      <c r="D172" s="138">
        <f t="shared" si="9"/>
        <v>15000</v>
      </c>
      <c r="E172" s="48"/>
      <c r="F172" s="48"/>
      <c r="G172" s="35"/>
      <c r="H172" s="35"/>
      <c r="I172" s="35"/>
      <c r="J172" s="35"/>
      <c r="K172" s="35"/>
      <c r="L172" s="35"/>
      <c r="M172" s="48"/>
      <c r="N172" s="48"/>
      <c r="O172" s="48"/>
      <c r="P172" s="48"/>
      <c r="Q172" s="48"/>
      <c r="R172" s="40"/>
      <c r="S172" s="40"/>
      <c r="T172" s="40"/>
      <c r="U172" s="40"/>
      <c r="V172" s="48"/>
      <c r="W172" s="48"/>
      <c r="X172" s="48">
        <f>500*30</f>
        <v>15000</v>
      </c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9"/>
    </row>
    <row r="173" spans="1:35" x14ac:dyDescent="0.25">
      <c r="A173" s="48">
        <v>30</v>
      </c>
      <c r="B173" s="176" t="s">
        <v>1112</v>
      </c>
      <c r="C173" s="176" t="s">
        <v>1110</v>
      </c>
      <c r="D173" s="138">
        <f t="shared" si="9"/>
        <v>10000</v>
      </c>
      <c r="E173" s="48"/>
      <c r="F173" s="48"/>
      <c r="G173" s="35"/>
      <c r="H173" s="35"/>
      <c r="I173" s="35"/>
      <c r="J173" s="35"/>
      <c r="K173" s="35"/>
      <c r="L173" s="35"/>
      <c r="M173" s="48"/>
      <c r="N173" s="48"/>
      <c r="O173" s="48"/>
      <c r="P173" s="48"/>
      <c r="Q173" s="48"/>
      <c r="R173" s="40"/>
      <c r="S173" s="40"/>
      <c r="T173" s="40"/>
      <c r="U173" s="40"/>
      <c r="V173" s="48"/>
      <c r="W173" s="48"/>
      <c r="X173" s="48">
        <f>333*30</f>
        <v>9990</v>
      </c>
      <c r="Y173" s="48">
        <v>10</v>
      </c>
      <c r="Z173" s="48"/>
      <c r="AA173" s="48"/>
      <c r="AB173" s="48"/>
      <c r="AC173" s="48"/>
      <c r="AD173" s="48"/>
      <c r="AE173" s="48"/>
      <c r="AF173" s="48"/>
      <c r="AG173" s="48"/>
      <c r="AH173" s="48"/>
      <c r="AI173" s="49"/>
    </row>
    <row r="174" spans="1:35" x14ac:dyDescent="0.25">
      <c r="A174" s="48">
        <v>31</v>
      </c>
      <c r="B174" s="176" t="s">
        <v>1114</v>
      </c>
      <c r="C174" s="176" t="s">
        <v>1113</v>
      </c>
      <c r="D174" s="138">
        <f t="shared" si="9"/>
        <v>500</v>
      </c>
      <c r="E174" s="48"/>
      <c r="F174" s="48"/>
      <c r="G174" s="35"/>
      <c r="H174" s="35"/>
      <c r="I174" s="35"/>
      <c r="J174" s="35"/>
      <c r="K174" s="35"/>
      <c r="L174" s="35"/>
      <c r="M174" s="48"/>
      <c r="N174" s="48"/>
      <c r="O174" s="48"/>
      <c r="P174" s="48"/>
      <c r="Q174" s="48"/>
      <c r="R174" s="40"/>
      <c r="S174" s="40"/>
      <c r="T174" s="40"/>
      <c r="U174" s="40"/>
      <c r="V174" s="48"/>
      <c r="W174" s="48"/>
      <c r="X174" s="48"/>
      <c r="Y174" s="48">
        <v>500</v>
      </c>
      <c r="Z174" s="48"/>
      <c r="AA174" s="48"/>
      <c r="AB174" s="48"/>
      <c r="AC174" s="48"/>
      <c r="AD174" s="48"/>
      <c r="AE174" s="48"/>
      <c r="AF174" s="48"/>
      <c r="AG174" s="48"/>
      <c r="AH174" s="48"/>
      <c r="AI174" s="49"/>
    </row>
    <row r="175" spans="1:35" x14ac:dyDescent="0.25">
      <c r="A175" s="48">
        <v>32</v>
      </c>
      <c r="B175" s="166" t="s">
        <v>678</v>
      </c>
      <c r="C175" s="166" t="s">
        <v>673</v>
      </c>
      <c r="D175" s="138">
        <f t="shared" si="9"/>
        <v>5000</v>
      </c>
      <c r="E175" s="48"/>
      <c r="F175" s="48"/>
      <c r="G175" s="35"/>
      <c r="H175" s="35"/>
      <c r="I175" s="35"/>
      <c r="J175" s="35"/>
      <c r="K175" s="35"/>
      <c r="L175" s="35"/>
      <c r="M175" s="48"/>
      <c r="N175" s="48"/>
      <c r="O175" s="48"/>
      <c r="P175" s="48"/>
      <c r="Q175" s="48"/>
      <c r="R175" s="40"/>
      <c r="S175" s="40"/>
      <c r="T175" s="40"/>
      <c r="U175" s="40">
        <f>1500+3480</f>
        <v>4980</v>
      </c>
      <c r="V175" s="48">
        <v>20</v>
      </c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9"/>
    </row>
    <row r="176" spans="1:35" x14ac:dyDescent="0.25">
      <c r="A176" s="48">
        <v>33</v>
      </c>
      <c r="B176" s="166" t="s">
        <v>679</v>
      </c>
      <c r="C176" s="166" t="s">
        <v>674</v>
      </c>
      <c r="D176" s="138">
        <f t="shared" si="9"/>
        <v>10000</v>
      </c>
      <c r="E176" s="48"/>
      <c r="F176" s="48"/>
      <c r="G176" s="35"/>
      <c r="H176" s="35"/>
      <c r="I176" s="35"/>
      <c r="J176" s="35"/>
      <c r="K176" s="35"/>
      <c r="L176" s="35"/>
      <c r="M176" s="48"/>
      <c r="N176" s="48"/>
      <c r="O176" s="48"/>
      <c r="P176" s="48"/>
      <c r="Q176" s="48"/>
      <c r="R176" s="40"/>
      <c r="S176" s="40"/>
      <c r="T176" s="40"/>
      <c r="U176" s="40">
        <v>10000</v>
      </c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9"/>
    </row>
    <row r="177" spans="1:35" x14ac:dyDescent="0.25">
      <c r="A177" s="48">
        <v>34</v>
      </c>
      <c r="B177" s="166" t="s">
        <v>215</v>
      </c>
      <c r="C177" s="166" t="s">
        <v>216</v>
      </c>
      <c r="D177" s="138">
        <f t="shared" si="9"/>
        <v>2000</v>
      </c>
      <c r="E177" s="48"/>
      <c r="F177" s="48"/>
      <c r="G177" s="35"/>
      <c r="H177" s="35">
        <v>2000</v>
      </c>
      <c r="I177" s="35"/>
      <c r="J177" s="35"/>
      <c r="K177" s="35"/>
      <c r="L177" s="35"/>
      <c r="M177" s="48"/>
      <c r="N177" s="48"/>
      <c r="O177" s="48"/>
      <c r="P177" s="48"/>
      <c r="Q177" s="48"/>
      <c r="R177" s="40"/>
      <c r="S177" s="40"/>
      <c r="T177" s="40"/>
      <c r="U177" s="40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9"/>
    </row>
    <row r="178" spans="1:35" x14ac:dyDescent="0.25">
      <c r="A178" s="48">
        <v>35</v>
      </c>
      <c r="B178" s="166" t="s">
        <v>417</v>
      </c>
      <c r="C178" s="166" t="s">
        <v>415</v>
      </c>
      <c r="D178" s="138">
        <f t="shared" si="9"/>
        <v>500</v>
      </c>
      <c r="E178" s="48"/>
      <c r="F178" s="48"/>
      <c r="G178" s="35"/>
      <c r="H178" s="35"/>
      <c r="I178" s="35"/>
      <c r="J178" s="35"/>
      <c r="K178" s="35"/>
      <c r="L178" s="35"/>
      <c r="M178" s="48"/>
      <c r="N178" s="48"/>
      <c r="O178" s="48"/>
      <c r="P178" s="48"/>
      <c r="Q178" s="48"/>
      <c r="R178" s="40"/>
      <c r="S178" s="40"/>
      <c r="T178" s="40"/>
      <c r="U178" s="40"/>
      <c r="V178" s="48"/>
      <c r="W178" s="48"/>
      <c r="X178" s="48"/>
      <c r="Y178" s="48"/>
      <c r="Z178" s="48"/>
      <c r="AA178" s="48">
        <v>480</v>
      </c>
      <c r="AB178" s="48"/>
      <c r="AC178" s="48">
        <v>20</v>
      </c>
      <c r="AD178" s="48"/>
      <c r="AE178" s="48"/>
      <c r="AF178" s="48"/>
      <c r="AG178" s="48"/>
      <c r="AH178" s="48"/>
      <c r="AI178" s="49"/>
    </row>
    <row r="179" spans="1:35" x14ac:dyDescent="0.25">
      <c r="A179" s="48">
        <v>36</v>
      </c>
      <c r="B179" s="166" t="s">
        <v>418</v>
      </c>
      <c r="C179" s="166" t="s">
        <v>416</v>
      </c>
      <c r="D179" s="138">
        <f t="shared" si="9"/>
        <v>500</v>
      </c>
      <c r="E179" s="48"/>
      <c r="F179" s="48"/>
      <c r="G179" s="35"/>
      <c r="H179" s="35"/>
      <c r="I179" s="35"/>
      <c r="J179" s="35"/>
      <c r="K179" s="35"/>
      <c r="L179" s="35"/>
      <c r="M179" s="48"/>
      <c r="N179" s="48"/>
      <c r="O179" s="48"/>
      <c r="P179" s="48"/>
      <c r="Q179" s="48"/>
      <c r="R179" s="40"/>
      <c r="S179" s="40"/>
      <c r="T179" s="40"/>
      <c r="U179" s="40"/>
      <c r="V179" s="48"/>
      <c r="W179" s="48"/>
      <c r="X179" s="48"/>
      <c r="Y179" s="48">
        <v>500</v>
      </c>
      <c r="Z179" s="48"/>
      <c r="AA179" s="48"/>
      <c r="AB179" s="48"/>
      <c r="AC179" s="48"/>
      <c r="AD179" s="48"/>
      <c r="AE179" s="48"/>
      <c r="AF179" s="48"/>
      <c r="AG179" s="48"/>
      <c r="AH179" s="48"/>
      <c r="AI179" s="49"/>
    </row>
    <row r="180" spans="1:35" x14ac:dyDescent="0.25">
      <c r="A180" s="48">
        <v>37</v>
      </c>
      <c r="B180" s="166" t="s">
        <v>650</v>
      </c>
      <c r="C180" s="166" t="s">
        <v>649</v>
      </c>
      <c r="D180" s="138">
        <f t="shared" si="9"/>
        <v>500</v>
      </c>
      <c r="E180" s="48"/>
      <c r="F180" s="48"/>
      <c r="G180" s="35"/>
      <c r="H180" s="35"/>
      <c r="I180" s="35"/>
      <c r="J180" s="35"/>
      <c r="K180" s="35"/>
      <c r="L180" s="35"/>
      <c r="M180" s="48"/>
      <c r="N180" s="48"/>
      <c r="O180" s="48"/>
      <c r="P180" s="48"/>
      <c r="Q180" s="48"/>
      <c r="R180" s="40"/>
      <c r="S180" s="40"/>
      <c r="T180" s="40"/>
      <c r="U180" s="40"/>
      <c r="V180" s="48"/>
      <c r="W180" s="48"/>
      <c r="X180" s="48"/>
      <c r="Y180" s="48"/>
      <c r="Z180" s="48"/>
      <c r="AA180" s="48"/>
      <c r="AB180" s="48"/>
      <c r="AC180" s="48"/>
      <c r="AD180" s="48">
        <v>468</v>
      </c>
      <c r="AE180" s="48"/>
      <c r="AF180" s="48"/>
      <c r="AG180" s="48"/>
      <c r="AH180" s="48"/>
      <c r="AI180" s="49">
        <v>32</v>
      </c>
    </row>
    <row r="181" spans="1:35" x14ac:dyDescent="0.25">
      <c r="A181" s="48">
        <v>38</v>
      </c>
      <c r="B181" s="176" t="s">
        <v>1174</v>
      </c>
      <c r="C181" s="176" t="s">
        <v>1172</v>
      </c>
      <c r="D181" s="138">
        <f t="shared" si="9"/>
        <v>5000</v>
      </c>
      <c r="E181" s="48"/>
      <c r="F181" s="48"/>
      <c r="G181" s="35"/>
      <c r="H181" s="35"/>
      <c r="I181" s="35"/>
      <c r="J181" s="35"/>
      <c r="K181" s="35"/>
      <c r="L181" s="35"/>
      <c r="M181" s="48"/>
      <c r="N181" s="48"/>
      <c r="O181" s="48"/>
      <c r="P181" s="48"/>
      <c r="Q181" s="48"/>
      <c r="R181" s="40"/>
      <c r="S181" s="40"/>
      <c r="T181" s="40"/>
      <c r="U181" s="40"/>
      <c r="V181" s="48"/>
      <c r="W181" s="48"/>
      <c r="X181" s="48"/>
      <c r="Y181" s="48"/>
      <c r="Z181" s="48"/>
      <c r="AA181" s="48"/>
      <c r="AB181" s="48"/>
      <c r="AC181" s="48">
        <v>5000</v>
      </c>
      <c r="AD181" s="48"/>
      <c r="AE181" s="48"/>
      <c r="AF181" s="48"/>
      <c r="AG181" s="48"/>
      <c r="AH181" s="48"/>
      <c r="AI181" s="49"/>
    </row>
    <row r="182" spans="1:35" x14ac:dyDescent="0.25">
      <c r="A182" s="48">
        <v>39</v>
      </c>
      <c r="B182" s="176" t="s">
        <v>1143</v>
      </c>
      <c r="C182" s="176" t="s">
        <v>1173</v>
      </c>
      <c r="D182" s="138">
        <f t="shared" si="9"/>
        <v>500</v>
      </c>
      <c r="E182" s="48"/>
      <c r="F182" s="48"/>
      <c r="G182" s="35"/>
      <c r="H182" s="35"/>
      <c r="I182" s="35"/>
      <c r="J182" s="35"/>
      <c r="K182" s="35"/>
      <c r="L182" s="35"/>
      <c r="M182" s="48"/>
      <c r="N182" s="48"/>
      <c r="O182" s="48"/>
      <c r="P182" s="48"/>
      <c r="Q182" s="48"/>
      <c r="R182" s="40"/>
      <c r="S182" s="40"/>
      <c r="T182" s="40"/>
      <c r="U182" s="40"/>
      <c r="V182" s="48"/>
      <c r="W182" s="48"/>
      <c r="X182" s="48"/>
      <c r="Y182" s="48"/>
      <c r="Z182" s="48"/>
      <c r="AA182" s="48"/>
      <c r="AB182" s="48"/>
      <c r="AC182" s="48">
        <v>500</v>
      </c>
      <c r="AD182" s="166"/>
      <c r="AE182" s="48"/>
      <c r="AF182" s="48"/>
      <c r="AG182" s="48"/>
      <c r="AH182" s="48"/>
      <c r="AI182" s="49"/>
    </row>
    <row r="183" spans="1:35" x14ac:dyDescent="0.25">
      <c r="A183" s="48">
        <v>40</v>
      </c>
      <c r="B183" s="176" t="s">
        <v>1177</v>
      </c>
      <c r="C183" s="176" t="s">
        <v>1175</v>
      </c>
      <c r="D183" s="138">
        <f t="shared" si="9"/>
        <v>6640</v>
      </c>
      <c r="E183" s="48"/>
      <c r="F183" s="48"/>
      <c r="G183" s="35"/>
      <c r="H183" s="35"/>
      <c r="I183" s="35"/>
      <c r="J183" s="35"/>
      <c r="K183" s="35"/>
      <c r="L183" s="35"/>
      <c r="M183" s="48"/>
      <c r="N183" s="48"/>
      <c r="O183" s="48"/>
      <c r="P183" s="48"/>
      <c r="Q183" s="48"/>
      <c r="R183" s="40"/>
      <c r="S183" s="40"/>
      <c r="T183" s="40"/>
      <c r="U183" s="40"/>
      <c r="V183" s="48"/>
      <c r="W183" s="48"/>
      <c r="X183" s="48"/>
      <c r="Y183" s="48"/>
      <c r="Z183" s="48"/>
      <c r="AA183" s="48"/>
      <c r="AB183" s="48"/>
      <c r="AC183" s="48">
        <f>221*30+10</f>
        <v>6640</v>
      </c>
      <c r="AD183" s="48"/>
      <c r="AE183" s="48"/>
      <c r="AF183" s="48"/>
      <c r="AG183" s="48"/>
      <c r="AH183" s="48"/>
      <c r="AI183" s="49"/>
    </row>
    <row r="184" spans="1:35" x14ac:dyDescent="0.25">
      <c r="A184" s="48">
        <v>41</v>
      </c>
      <c r="B184" s="176" t="s">
        <v>1178</v>
      </c>
      <c r="C184" s="176" t="s">
        <v>1176</v>
      </c>
      <c r="D184" s="138">
        <f t="shared" si="9"/>
        <v>5000</v>
      </c>
      <c r="E184" s="48"/>
      <c r="F184" s="48"/>
      <c r="G184" s="35"/>
      <c r="H184" s="35"/>
      <c r="I184" s="35"/>
      <c r="J184" s="35"/>
      <c r="K184" s="35"/>
      <c r="L184" s="35"/>
      <c r="M184" s="48"/>
      <c r="N184" s="48"/>
      <c r="O184" s="48"/>
      <c r="P184" s="48"/>
      <c r="Q184" s="48"/>
      <c r="R184" s="40"/>
      <c r="S184" s="40"/>
      <c r="T184" s="40"/>
      <c r="U184" s="40"/>
      <c r="V184" s="48"/>
      <c r="W184" s="48"/>
      <c r="X184" s="48"/>
      <c r="Y184" s="48"/>
      <c r="Z184" s="48"/>
      <c r="AA184" s="48"/>
      <c r="AB184" s="48"/>
      <c r="AC184" s="48">
        <v>5000</v>
      </c>
      <c r="AD184" s="48"/>
      <c r="AE184" s="48"/>
      <c r="AF184" s="48"/>
      <c r="AG184" s="48"/>
      <c r="AH184" s="48"/>
      <c r="AI184" s="49"/>
    </row>
    <row r="185" spans="1:35" x14ac:dyDescent="0.25">
      <c r="A185" s="48">
        <v>42</v>
      </c>
      <c r="B185" s="166" t="s">
        <v>766</v>
      </c>
      <c r="C185" s="166" t="s">
        <v>765</v>
      </c>
      <c r="D185" s="138">
        <f t="shared" si="9"/>
        <v>0</v>
      </c>
      <c r="E185" s="48"/>
      <c r="F185" s="48"/>
      <c r="G185" s="35"/>
      <c r="H185" s="35"/>
      <c r="I185" s="35"/>
      <c r="J185" s="35"/>
      <c r="K185" s="35"/>
      <c r="L185" s="35"/>
      <c r="M185" s="48"/>
      <c r="N185" s="48"/>
      <c r="O185" s="48"/>
      <c r="P185" s="48"/>
      <c r="Q185" s="48"/>
      <c r="R185" s="40"/>
      <c r="S185" s="40"/>
      <c r="T185" s="40"/>
      <c r="U185" s="40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9"/>
    </row>
    <row r="186" spans="1:35" x14ac:dyDescent="0.25">
      <c r="A186" s="48">
        <v>43</v>
      </c>
      <c r="B186" s="166" t="s">
        <v>305</v>
      </c>
      <c r="C186" s="166" t="s">
        <v>304</v>
      </c>
      <c r="D186" s="138">
        <f t="shared" si="9"/>
        <v>160</v>
      </c>
      <c r="E186" s="48"/>
      <c r="F186" s="48"/>
      <c r="G186" s="35"/>
      <c r="H186" s="35">
        <v>160</v>
      </c>
      <c r="I186" s="35"/>
      <c r="J186" s="35"/>
      <c r="K186" s="35"/>
      <c r="L186" s="35"/>
      <c r="M186" s="48"/>
      <c r="N186" s="48"/>
      <c r="O186" s="48"/>
      <c r="P186" s="48"/>
      <c r="Q186" s="48"/>
      <c r="R186" s="40"/>
      <c r="S186" s="40"/>
      <c r="T186" s="40"/>
      <c r="U186" s="40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9"/>
    </row>
    <row r="187" spans="1:35" x14ac:dyDescent="0.25">
      <c r="A187" s="48">
        <v>44</v>
      </c>
      <c r="B187" s="166" t="s">
        <v>306</v>
      </c>
      <c r="C187" s="166" t="s">
        <v>307</v>
      </c>
      <c r="D187" s="138">
        <f t="shared" si="9"/>
        <v>500</v>
      </c>
      <c r="E187" s="48"/>
      <c r="F187" s="48"/>
      <c r="G187" s="35"/>
      <c r="H187" s="35">
        <v>500</v>
      </c>
      <c r="I187" s="35"/>
      <c r="J187" s="35"/>
      <c r="K187" s="35"/>
      <c r="L187" s="35"/>
      <c r="M187" s="48"/>
      <c r="N187" s="48"/>
      <c r="O187" s="48"/>
      <c r="P187" s="48"/>
      <c r="Q187" s="48"/>
      <c r="R187" s="40"/>
      <c r="S187" s="40"/>
      <c r="T187" s="40"/>
      <c r="U187" s="40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9"/>
    </row>
    <row r="188" spans="1:35" x14ac:dyDescent="0.25">
      <c r="A188" s="48">
        <v>45</v>
      </c>
      <c r="B188" s="166" t="s">
        <v>449</v>
      </c>
      <c r="C188" s="166" t="s">
        <v>448</v>
      </c>
      <c r="D188" s="138">
        <f t="shared" si="9"/>
        <v>0</v>
      </c>
      <c r="E188" s="48"/>
      <c r="F188" s="48"/>
      <c r="G188" s="35"/>
      <c r="H188" s="35"/>
      <c r="I188" s="35"/>
      <c r="J188" s="35"/>
      <c r="K188" s="35"/>
      <c r="L188" s="35"/>
      <c r="M188" s="48"/>
      <c r="N188" s="48"/>
      <c r="O188" s="48"/>
      <c r="P188" s="48"/>
      <c r="Q188" s="48"/>
      <c r="R188" s="40"/>
      <c r="S188" s="40"/>
      <c r="T188" s="40"/>
      <c r="U188" s="40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9"/>
    </row>
    <row r="189" spans="1:35" x14ac:dyDescent="0.25">
      <c r="A189" s="48">
        <v>46</v>
      </c>
      <c r="B189" s="166" t="s">
        <v>662</v>
      </c>
      <c r="C189" s="166" t="s">
        <v>661</v>
      </c>
      <c r="D189" s="138">
        <f t="shared" si="9"/>
        <v>12700</v>
      </c>
      <c r="E189" s="48"/>
      <c r="F189" s="48"/>
      <c r="G189" s="35"/>
      <c r="H189" s="35"/>
      <c r="I189" s="35"/>
      <c r="J189" s="35"/>
      <c r="K189" s="35"/>
      <c r="L189" s="35"/>
      <c r="M189" s="48"/>
      <c r="N189" s="48"/>
      <c r="O189" s="48"/>
      <c r="P189" s="48"/>
      <c r="Q189" s="48"/>
      <c r="R189" s="40"/>
      <c r="S189" s="40"/>
      <c r="T189" s="40"/>
      <c r="U189" s="40"/>
      <c r="V189" s="48"/>
      <c r="W189" s="48">
        <f>375*4</f>
        <v>1500</v>
      </c>
      <c r="X189" s="48">
        <f>888*4+360*4+49*4</f>
        <v>5188</v>
      </c>
      <c r="Y189" s="48"/>
      <c r="Z189" s="48"/>
      <c r="AA189" s="48"/>
      <c r="AB189" s="48"/>
      <c r="AC189" s="48"/>
      <c r="AD189" s="48">
        <f>245*4+75*4</f>
        <v>1280</v>
      </c>
      <c r="AE189" s="48">
        <f>330*4+17*4</f>
        <v>1388</v>
      </c>
      <c r="AF189" s="48">
        <f>237*4+596*4</f>
        <v>3332</v>
      </c>
      <c r="AG189" s="48"/>
      <c r="AH189" s="48"/>
      <c r="AI189" s="49">
        <v>12</v>
      </c>
    </row>
    <row r="190" spans="1:35" x14ac:dyDescent="0.25">
      <c r="A190" s="48">
        <v>47</v>
      </c>
      <c r="B190" s="166" t="s">
        <v>220</v>
      </c>
      <c r="C190" s="166" t="s">
        <v>219</v>
      </c>
      <c r="D190" s="138">
        <f t="shared" si="9"/>
        <v>0</v>
      </c>
      <c r="E190" s="48"/>
      <c r="F190" s="48"/>
      <c r="G190" s="35"/>
      <c r="H190" s="35"/>
      <c r="I190" s="35"/>
      <c r="J190" s="35"/>
      <c r="K190" s="35"/>
      <c r="L190" s="35"/>
      <c r="M190" s="48"/>
      <c r="N190" s="48"/>
      <c r="O190" s="48"/>
      <c r="P190" s="48"/>
      <c r="Q190" s="48"/>
      <c r="R190" s="40"/>
      <c r="S190" s="40"/>
      <c r="T190" s="40"/>
      <c r="U190" s="40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9"/>
    </row>
    <row r="191" spans="1:35" x14ac:dyDescent="0.25">
      <c r="A191" s="48">
        <v>48</v>
      </c>
      <c r="B191" s="166" t="s">
        <v>152</v>
      </c>
      <c r="C191" s="166" t="s">
        <v>103</v>
      </c>
      <c r="D191" s="138">
        <f t="shared" si="9"/>
        <v>4200</v>
      </c>
      <c r="E191" s="48"/>
      <c r="F191" s="48"/>
      <c r="G191" s="35"/>
      <c r="H191" s="35"/>
      <c r="I191" s="35"/>
      <c r="J191" s="35"/>
      <c r="K191" s="35"/>
      <c r="L191" s="35"/>
      <c r="M191" s="48">
        <f>1530*2</f>
        <v>3060</v>
      </c>
      <c r="N191" s="48">
        <f>510*2+120</f>
        <v>1140</v>
      </c>
      <c r="O191" s="48"/>
      <c r="P191" s="48"/>
      <c r="Q191" s="48"/>
      <c r="R191" s="40"/>
      <c r="S191" s="40"/>
      <c r="T191" s="40"/>
      <c r="U191" s="40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9"/>
    </row>
    <row r="192" spans="1:35" x14ac:dyDescent="0.25">
      <c r="A192" s="48">
        <v>49</v>
      </c>
      <c r="B192" s="166" t="s">
        <v>898</v>
      </c>
      <c r="C192" s="166" t="s">
        <v>896</v>
      </c>
      <c r="D192" s="138">
        <f t="shared" si="9"/>
        <v>0</v>
      </c>
      <c r="E192" s="48"/>
      <c r="F192" s="48"/>
      <c r="G192" s="35"/>
      <c r="H192" s="35"/>
      <c r="I192" s="35"/>
      <c r="J192" s="35"/>
      <c r="K192" s="35"/>
      <c r="L192" s="35"/>
      <c r="M192" s="48"/>
      <c r="N192" s="48"/>
      <c r="O192" s="48"/>
      <c r="P192" s="48"/>
      <c r="Q192" s="137"/>
      <c r="R192" s="40"/>
      <c r="S192" s="40"/>
      <c r="T192" s="40"/>
      <c r="U192" s="40"/>
      <c r="V192" s="48"/>
      <c r="W192" s="48"/>
      <c r="X192" s="48"/>
      <c r="Y192" s="48"/>
      <c r="Z192" s="48"/>
      <c r="AA192" s="48"/>
      <c r="AB192" s="48"/>
      <c r="AC192" s="48"/>
      <c r="AD192" s="137"/>
      <c r="AE192" s="48"/>
      <c r="AF192" s="48"/>
      <c r="AG192" s="48"/>
      <c r="AH192" s="48"/>
      <c r="AI192" s="49"/>
    </row>
    <row r="193" spans="1:35" x14ac:dyDescent="0.25">
      <c r="A193" s="48">
        <v>50</v>
      </c>
      <c r="B193" s="166" t="s">
        <v>899</v>
      </c>
      <c r="C193" s="166" t="s">
        <v>897</v>
      </c>
      <c r="D193" s="138">
        <f t="shared" si="9"/>
        <v>2320</v>
      </c>
      <c r="E193" s="48"/>
      <c r="F193" s="48"/>
      <c r="G193" s="35"/>
      <c r="H193" s="35"/>
      <c r="I193" s="35"/>
      <c r="J193" s="35">
        <v>320</v>
      </c>
      <c r="K193" s="35"/>
      <c r="L193" s="35"/>
      <c r="M193" s="48"/>
      <c r="N193" s="48"/>
      <c r="O193" s="48"/>
      <c r="P193" s="48"/>
      <c r="Q193" s="48"/>
      <c r="R193" s="40"/>
      <c r="S193" s="40"/>
      <c r="T193" s="40"/>
      <c r="U193" s="40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>
        <f>35*4+1860</f>
        <v>2000</v>
      </c>
      <c r="AG193" s="48"/>
      <c r="AH193" s="48"/>
      <c r="AI193" s="49"/>
    </row>
    <row r="194" spans="1:35" x14ac:dyDescent="0.25">
      <c r="A194" s="48">
        <v>51</v>
      </c>
      <c r="B194" s="166" t="s">
        <v>798</v>
      </c>
      <c r="C194" s="166" t="s">
        <v>797</v>
      </c>
      <c r="D194" s="138">
        <f t="shared" si="9"/>
        <v>880</v>
      </c>
      <c r="E194" s="48"/>
      <c r="F194" s="48"/>
      <c r="G194" s="35">
        <v>880</v>
      </c>
      <c r="H194" s="35"/>
      <c r="I194" s="35"/>
      <c r="J194" s="35"/>
      <c r="K194" s="35"/>
      <c r="L194" s="35"/>
      <c r="M194" s="48"/>
      <c r="N194" s="48"/>
      <c r="O194" s="48"/>
      <c r="P194" s="48"/>
      <c r="Q194" s="48"/>
      <c r="R194" s="40"/>
      <c r="S194" s="40"/>
      <c r="T194" s="40"/>
      <c r="U194" s="40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9"/>
    </row>
    <row r="195" spans="1:35" x14ac:dyDescent="0.25">
      <c r="A195" s="48">
        <v>52</v>
      </c>
      <c r="B195" s="166" t="s">
        <v>800</v>
      </c>
      <c r="C195" s="166" t="s">
        <v>799</v>
      </c>
      <c r="D195" s="138">
        <f t="shared" si="9"/>
        <v>26600</v>
      </c>
      <c r="E195" s="48">
        <v>15000</v>
      </c>
      <c r="F195" s="48"/>
      <c r="G195" s="35"/>
      <c r="H195" s="35"/>
      <c r="I195" s="35">
        <f>360*15</f>
        <v>5400</v>
      </c>
      <c r="J195" s="35">
        <v>6200</v>
      </c>
      <c r="K195" s="35"/>
      <c r="L195" s="35"/>
      <c r="M195" s="48"/>
      <c r="N195" s="48"/>
      <c r="O195" s="48"/>
      <c r="P195" s="48"/>
      <c r="Q195" s="48"/>
      <c r="R195" s="40"/>
      <c r="S195" s="40"/>
      <c r="T195" s="40"/>
      <c r="U195" s="40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9"/>
    </row>
    <row r="196" spans="1:35" x14ac:dyDescent="0.25">
      <c r="A196" s="48">
        <v>53</v>
      </c>
      <c r="B196" s="166" t="s">
        <v>592</v>
      </c>
      <c r="C196" s="166" t="s">
        <v>585</v>
      </c>
      <c r="D196" s="138">
        <f t="shared" si="9"/>
        <v>0</v>
      </c>
      <c r="E196" s="48"/>
      <c r="F196" s="48"/>
      <c r="G196" s="35"/>
      <c r="H196" s="35"/>
      <c r="I196" s="35"/>
      <c r="J196" s="35"/>
      <c r="K196" s="35"/>
      <c r="L196" s="35"/>
      <c r="M196" s="48"/>
      <c r="N196" s="48"/>
      <c r="O196" s="48"/>
      <c r="P196" s="48"/>
      <c r="Q196" s="48"/>
      <c r="R196" s="40"/>
      <c r="S196" s="40"/>
      <c r="T196" s="40"/>
      <c r="U196" s="40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9"/>
    </row>
    <row r="197" spans="1:35" x14ac:dyDescent="0.25">
      <c r="A197" s="48">
        <v>54</v>
      </c>
      <c r="B197" s="166" t="s">
        <v>593</v>
      </c>
      <c r="C197" s="166" t="s">
        <v>586</v>
      </c>
      <c r="D197" s="138">
        <f t="shared" si="9"/>
        <v>0</v>
      </c>
      <c r="E197" s="48"/>
      <c r="F197" s="48"/>
      <c r="G197" s="35"/>
      <c r="H197" s="35"/>
      <c r="I197" s="35"/>
      <c r="J197" s="35"/>
      <c r="K197" s="35"/>
      <c r="L197" s="35"/>
      <c r="M197" s="48"/>
      <c r="N197" s="48"/>
      <c r="O197" s="48"/>
      <c r="P197" s="48"/>
      <c r="Q197" s="48"/>
      <c r="R197" s="40"/>
      <c r="S197" s="40"/>
      <c r="T197" s="40"/>
      <c r="U197" s="40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9"/>
    </row>
    <row r="198" spans="1:35" x14ac:dyDescent="0.25">
      <c r="A198" s="48">
        <v>55</v>
      </c>
      <c r="B198" s="166" t="s">
        <v>594</v>
      </c>
      <c r="C198" s="166" t="s">
        <v>587</v>
      </c>
      <c r="D198" s="138">
        <f t="shared" si="9"/>
        <v>1700</v>
      </c>
      <c r="E198" s="48"/>
      <c r="F198" s="48"/>
      <c r="G198" s="35"/>
      <c r="H198" s="35"/>
      <c r="I198" s="35"/>
      <c r="J198" s="35"/>
      <c r="K198" s="35">
        <f>650*2</f>
        <v>1300</v>
      </c>
      <c r="L198" s="35"/>
      <c r="M198" s="48"/>
      <c r="N198" s="48"/>
      <c r="O198" s="48"/>
      <c r="P198" s="48"/>
      <c r="Q198" s="48"/>
      <c r="R198" s="40"/>
      <c r="S198" s="40"/>
      <c r="T198" s="40"/>
      <c r="U198" s="40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>
        <f>20+230</f>
        <v>250</v>
      </c>
      <c r="AH198" s="48">
        <f>75*2</f>
        <v>150</v>
      </c>
      <c r="AI198" s="49"/>
    </row>
    <row r="199" spans="1:35" x14ac:dyDescent="0.25">
      <c r="A199" s="48">
        <v>56</v>
      </c>
      <c r="B199" s="166" t="s">
        <v>595</v>
      </c>
      <c r="C199" s="166" t="s">
        <v>588</v>
      </c>
      <c r="D199" s="138">
        <f t="shared" si="9"/>
        <v>590</v>
      </c>
      <c r="E199" s="48"/>
      <c r="F199" s="48"/>
      <c r="G199" s="35"/>
      <c r="H199" s="35"/>
      <c r="I199" s="35"/>
      <c r="J199" s="35"/>
      <c r="K199" s="35">
        <f>294*2</f>
        <v>588</v>
      </c>
      <c r="L199" s="35"/>
      <c r="M199" s="48"/>
      <c r="N199" s="48"/>
      <c r="O199" s="48"/>
      <c r="P199" s="48"/>
      <c r="Q199" s="48"/>
      <c r="R199" s="40"/>
      <c r="S199" s="40"/>
      <c r="T199" s="40"/>
      <c r="U199" s="40"/>
      <c r="V199" s="48"/>
      <c r="W199" s="48"/>
      <c r="X199" s="48"/>
      <c r="Y199" s="48"/>
      <c r="Z199" s="48"/>
      <c r="AA199" s="48"/>
      <c r="AB199" s="48"/>
      <c r="AC199" s="48">
        <v>2</v>
      </c>
      <c r="AD199" s="48"/>
      <c r="AE199" s="48"/>
      <c r="AF199" s="48"/>
      <c r="AG199" s="48"/>
      <c r="AH199" s="48"/>
      <c r="AI199" s="49"/>
    </row>
    <row r="200" spans="1:35" x14ac:dyDescent="0.25">
      <c r="A200" s="48">
        <v>57</v>
      </c>
      <c r="B200" s="166" t="s">
        <v>596</v>
      </c>
      <c r="C200" s="166" t="s">
        <v>589</v>
      </c>
      <c r="D200" s="138">
        <f t="shared" si="9"/>
        <v>260</v>
      </c>
      <c r="E200" s="48"/>
      <c r="F200" s="48"/>
      <c r="G200" s="35"/>
      <c r="H200" s="35"/>
      <c r="I200" s="35"/>
      <c r="J200" s="35"/>
      <c r="K200" s="35">
        <f>40+220</f>
        <v>260</v>
      </c>
      <c r="L200" s="35"/>
      <c r="M200" s="48"/>
      <c r="N200" s="48"/>
      <c r="O200" s="48"/>
      <c r="P200" s="48"/>
      <c r="Q200" s="48"/>
      <c r="R200" s="40"/>
      <c r="S200" s="40"/>
      <c r="T200" s="40"/>
      <c r="U200" s="40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9"/>
    </row>
    <row r="201" spans="1:35" x14ac:dyDescent="0.25">
      <c r="A201" s="48">
        <v>58</v>
      </c>
      <c r="B201" s="166" t="s">
        <v>597</v>
      </c>
      <c r="C201" s="166" t="s">
        <v>590</v>
      </c>
      <c r="D201" s="138">
        <f t="shared" si="9"/>
        <v>180</v>
      </c>
      <c r="E201" s="48"/>
      <c r="F201" s="48"/>
      <c r="G201" s="35"/>
      <c r="H201" s="35"/>
      <c r="I201" s="35"/>
      <c r="J201" s="35"/>
      <c r="K201" s="35">
        <v>180</v>
      </c>
      <c r="L201" s="35"/>
      <c r="M201" s="48"/>
      <c r="N201" s="48"/>
      <c r="O201" s="48"/>
      <c r="P201" s="48"/>
      <c r="Q201" s="48"/>
      <c r="R201" s="40"/>
      <c r="S201" s="40"/>
      <c r="T201" s="40"/>
      <c r="U201" s="40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9"/>
    </row>
    <row r="202" spans="1:35" x14ac:dyDescent="0.25">
      <c r="A202" s="48">
        <v>59</v>
      </c>
      <c r="B202" s="166" t="s">
        <v>598</v>
      </c>
      <c r="C202" s="166" t="s">
        <v>591</v>
      </c>
      <c r="D202" s="138">
        <f t="shared" si="9"/>
        <v>0</v>
      </c>
      <c r="E202" s="48"/>
      <c r="F202" s="48"/>
      <c r="G202" s="35"/>
      <c r="H202" s="35"/>
      <c r="I202" s="35"/>
      <c r="J202" s="35"/>
      <c r="K202" s="35"/>
      <c r="L202" s="35"/>
      <c r="M202" s="48"/>
      <c r="N202" s="48"/>
      <c r="O202" s="48"/>
      <c r="P202" s="48"/>
      <c r="Q202" s="48"/>
      <c r="R202" s="40"/>
      <c r="S202" s="40"/>
      <c r="T202" s="40"/>
      <c r="U202" s="40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9"/>
    </row>
    <row r="203" spans="1:35" x14ac:dyDescent="0.25">
      <c r="A203" s="48">
        <v>60</v>
      </c>
      <c r="B203" s="166" t="s">
        <v>445</v>
      </c>
      <c r="C203" s="166" t="s">
        <v>444</v>
      </c>
      <c r="D203" s="138">
        <f t="shared" ref="D203:D234" si="10">SUM(E203:AI203)</f>
        <v>0</v>
      </c>
      <c r="E203" s="48"/>
      <c r="F203" s="48"/>
      <c r="G203" s="35"/>
      <c r="H203" s="35"/>
      <c r="I203" s="35"/>
      <c r="J203" s="35"/>
      <c r="K203" s="35"/>
      <c r="L203" s="35"/>
      <c r="M203" s="48"/>
      <c r="N203" s="48"/>
      <c r="O203" s="48"/>
      <c r="P203" s="48"/>
      <c r="Q203" s="48"/>
      <c r="R203" s="40"/>
      <c r="S203" s="40"/>
      <c r="T203" s="40"/>
      <c r="U203" s="40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9"/>
    </row>
    <row r="204" spans="1:35" x14ac:dyDescent="0.25">
      <c r="A204" s="48">
        <v>61</v>
      </c>
      <c r="B204" s="166" t="s">
        <v>605</v>
      </c>
      <c r="C204" s="166" t="s">
        <v>599</v>
      </c>
      <c r="D204" s="138">
        <f t="shared" si="10"/>
        <v>0</v>
      </c>
      <c r="E204" s="48"/>
      <c r="F204" s="48"/>
      <c r="G204" s="35"/>
      <c r="H204" s="35"/>
      <c r="I204" s="35"/>
      <c r="J204" s="35"/>
      <c r="K204" s="35"/>
      <c r="L204" s="35"/>
      <c r="M204" s="48"/>
      <c r="N204" s="48"/>
      <c r="O204" s="48"/>
      <c r="P204" s="48"/>
      <c r="Q204" s="48"/>
      <c r="R204" s="40"/>
      <c r="S204" s="40"/>
      <c r="T204" s="40"/>
      <c r="U204" s="40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9"/>
    </row>
    <row r="205" spans="1:35" x14ac:dyDescent="0.25">
      <c r="A205" s="48">
        <v>62</v>
      </c>
      <c r="B205" s="166" t="s">
        <v>606</v>
      </c>
      <c r="C205" s="166" t="s">
        <v>600</v>
      </c>
      <c r="D205" s="138">
        <f t="shared" si="10"/>
        <v>0</v>
      </c>
      <c r="E205" s="48"/>
      <c r="F205" s="48"/>
      <c r="G205" s="35"/>
      <c r="H205" s="35"/>
      <c r="I205" s="35"/>
      <c r="J205" s="35"/>
      <c r="K205" s="35"/>
      <c r="L205" s="35"/>
      <c r="M205" s="48"/>
      <c r="N205" s="48"/>
      <c r="O205" s="48"/>
      <c r="P205" s="48"/>
      <c r="Q205" s="48"/>
      <c r="R205" s="40"/>
      <c r="S205" s="40"/>
      <c r="T205" s="40"/>
      <c r="U205" s="40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9"/>
    </row>
    <row r="206" spans="1:35" x14ac:dyDescent="0.25">
      <c r="A206" s="48">
        <v>63</v>
      </c>
      <c r="B206" s="166" t="s">
        <v>607</v>
      </c>
      <c r="C206" s="166" t="s">
        <v>601</v>
      </c>
      <c r="D206" s="138">
        <f t="shared" si="10"/>
        <v>720</v>
      </c>
      <c r="E206" s="48"/>
      <c r="F206" s="48"/>
      <c r="G206" s="35"/>
      <c r="H206" s="35"/>
      <c r="I206" s="35"/>
      <c r="J206" s="35">
        <v>720</v>
      </c>
      <c r="K206" s="35"/>
      <c r="L206" s="35"/>
      <c r="M206" s="48"/>
      <c r="N206" s="48"/>
      <c r="O206" s="48"/>
      <c r="P206" s="48"/>
      <c r="Q206" s="48"/>
      <c r="R206" s="40"/>
      <c r="S206" s="40"/>
      <c r="T206" s="40"/>
      <c r="U206" s="40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9"/>
    </row>
    <row r="207" spans="1:35" x14ac:dyDescent="0.25">
      <c r="A207" s="48">
        <v>64</v>
      </c>
      <c r="B207" s="166" t="s">
        <v>608</v>
      </c>
      <c r="C207" s="166" t="s">
        <v>602</v>
      </c>
      <c r="D207" s="138">
        <f t="shared" si="10"/>
        <v>0</v>
      </c>
      <c r="E207" s="48"/>
      <c r="F207" s="48"/>
      <c r="G207" s="35"/>
      <c r="H207" s="35"/>
      <c r="I207" s="35"/>
      <c r="J207" s="35"/>
      <c r="K207" s="35"/>
      <c r="L207" s="35"/>
      <c r="M207" s="48"/>
      <c r="N207" s="48"/>
      <c r="O207" s="48"/>
      <c r="P207" s="48"/>
      <c r="Q207" s="48"/>
      <c r="R207" s="40"/>
      <c r="S207" s="40"/>
      <c r="T207" s="40"/>
      <c r="U207" s="40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9"/>
    </row>
    <row r="208" spans="1:35" x14ac:dyDescent="0.25">
      <c r="A208" s="48">
        <v>65</v>
      </c>
      <c r="B208" s="166" t="s">
        <v>609</v>
      </c>
      <c r="C208" s="166" t="s">
        <v>603</v>
      </c>
      <c r="D208" s="138">
        <f t="shared" si="10"/>
        <v>9600</v>
      </c>
      <c r="E208" s="48"/>
      <c r="F208" s="48"/>
      <c r="G208" s="35"/>
      <c r="H208" s="35"/>
      <c r="I208" s="35"/>
      <c r="J208" s="35"/>
      <c r="K208" s="35"/>
      <c r="L208" s="35"/>
      <c r="M208" s="48"/>
      <c r="N208" s="48"/>
      <c r="O208" s="48"/>
      <c r="P208" s="48"/>
      <c r="Q208" s="48"/>
      <c r="R208" s="40"/>
      <c r="S208" s="40"/>
      <c r="T208" s="40"/>
      <c r="U208" s="40"/>
      <c r="V208" s="48"/>
      <c r="W208" s="48"/>
      <c r="X208" s="48"/>
      <c r="Y208" s="48"/>
      <c r="Z208" s="48">
        <f>300*12</f>
        <v>3600</v>
      </c>
      <c r="AA208" s="48"/>
      <c r="AB208" s="48"/>
      <c r="AC208" s="48"/>
      <c r="AD208" s="48"/>
      <c r="AE208" s="48"/>
      <c r="AF208" s="48"/>
      <c r="AG208" s="48">
        <f>330*12</f>
        <v>3960</v>
      </c>
      <c r="AH208" s="48">
        <f>170*12</f>
        <v>2040</v>
      </c>
      <c r="AI208" s="49"/>
    </row>
    <row r="209" spans="1:35" x14ac:dyDescent="0.25">
      <c r="A209" s="48">
        <v>66</v>
      </c>
      <c r="B209" s="166" t="s">
        <v>610</v>
      </c>
      <c r="C209" s="166" t="s">
        <v>604</v>
      </c>
      <c r="D209" s="138">
        <f t="shared" si="10"/>
        <v>680</v>
      </c>
      <c r="E209" s="48"/>
      <c r="F209" s="48"/>
      <c r="G209" s="35"/>
      <c r="H209" s="35"/>
      <c r="I209" s="35"/>
      <c r="J209" s="35">
        <v>680</v>
      </c>
      <c r="K209" s="35"/>
      <c r="L209" s="35"/>
      <c r="M209" s="48"/>
      <c r="N209" s="48"/>
      <c r="O209" s="48"/>
      <c r="P209" s="48"/>
      <c r="Q209" s="48"/>
      <c r="R209" s="40"/>
      <c r="S209" s="40"/>
      <c r="T209" s="40"/>
      <c r="U209" s="40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9"/>
    </row>
    <row r="210" spans="1:35" x14ac:dyDescent="0.25">
      <c r="A210" s="48">
        <v>67</v>
      </c>
      <c r="B210" s="166" t="s">
        <v>300</v>
      </c>
      <c r="C210" s="166" t="s">
        <v>299</v>
      </c>
      <c r="D210" s="138">
        <f t="shared" si="10"/>
        <v>500</v>
      </c>
      <c r="E210" s="48"/>
      <c r="F210" s="48"/>
      <c r="G210" s="35"/>
      <c r="H210" s="35"/>
      <c r="I210" s="35"/>
      <c r="J210" s="35"/>
      <c r="K210" s="35"/>
      <c r="L210" s="35"/>
      <c r="M210" s="48"/>
      <c r="N210" s="48"/>
      <c r="O210" s="48"/>
      <c r="P210" s="48"/>
      <c r="Q210" s="48"/>
      <c r="R210" s="40"/>
      <c r="S210" s="40"/>
      <c r="T210" s="40"/>
      <c r="U210" s="40"/>
      <c r="V210" s="48"/>
      <c r="W210" s="48"/>
      <c r="X210" s="48"/>
      <c r="Y210" s="48">
        <v>500</v>
      </c>
      <c r="Z210" s="48"/>
      <c r="AA210" s="48"/>
      <c r="AB210" s="48"/>
      <c r="AC210" s="48"/>
      <c r="AD210" s="48"/>
      <c r="AE210" s="48"/>
      <c r="AF210" s="48"/>
      <c r="AG210" s="48"/>
      <c r="AH210" s="48"/>
      <c r="AI210" s="49"/>
    </row>
    <row r="211" spans="1:35" x14ac:dyDescent="0.25">
      <c r="A211" s="48">
        <v>68</v>
      </c>
      <c r="B211" s="176" t="s">
        <v>944</v>
      </c>
      <c r="C211" s="176" t="s">
        <v>934</v>
      </c>
      <c r="D211" s="138">
        <f t="shared" si="10"/>
        <v>4852</v>
      </c>
      <c r="E211" s="48"/>
      <c r="F211" s="48"/>
      <c r="G211" s="35"/>
      <c r="H211" s="35"/>
      <c r="I211" s="35"/>
      <c r="J211" s="35"/>
      <c r="K211" s="35"/>
      <c r="L211" s="35"/>
      <c r="M211" s="48"/>
      <c r="N211" s="48"/>
      <c r="O211" s="48"/>
      <c r="P211" s="48"/>
      <c r="Q211" s="137"/>
      <c r="R211" s="40"/>
      <c r="S211" s="40"/>
      <c r="T211" s="40"/>
      <c r="U211" s="40"/>
      <c r="V211" s="48"/>
      <c r="W211" s="48"/>
      <c r="X211" s="48"/>
      <c r="Y211" s="48"/>
      <c r="Z211" s="48"/>
      <c r="AA211" s="48"/>
      <c r="AB211" s="48"/>
      <c r="AC211" s="48"/>
      <c r="AD211" s="137">
        <v>500</v>
      </c>
      <c r="AE211" s="48"/>
      <c r="AF211" s="48">
        <f>725*6-4</f>
        <v>4346</v>
      </c>
      <c r="AG211" s="48">
        <v>6</v>
      </c>
      <c r="AH211" s="48"/>
      <c r="AI211" s="49"/>
    </row>
    <row r="212" spans="1:35" x14ac:dyDescent="0.25">
      <c r="A212" s="48">
        <v>69</v>
      </c>
      <c r="B212" s="176" t="s">
        <v>945</v>
      </c>
      <c r="C212" s="176" t="s">
        <v>935</v>
      </c>
      <c r="D212" s="138">
        <f t="shared" si="10"/>
        <v>4790</v>
      </c>
      <c r="E212" s="48"/>
      <c r="F212" s="48"/>
      <c r="G212" s="35"/>
      <c r="H212" s="35"/>
      <c r="I212" s="35"/>
      <c r="J212" s="35"/>
      <c r="K212" s="35"/>
      <c r="L212" s="35"/>
      <c r="M212" s="48"/>
      <c r="N212" s="48"/>
      <c r="O212" s="48"/>
      <c r="P212" s="48"/>
      <c r="Q212" s="48"/>
      <c r="R212" s="40"/>
      <c r="S212" s="40"/>
      <c r="T212" s="40"/>
      <c r="U212" s="40"/>
      <c r="V212" s="48"/>
      <c r="W212" s="48"/>
      <c r="X212" s="48"/>
      <c r="Y212" s="48"/>
      <c r="Z212" s="48"/>
      <c r="AA212" s="48"/>
      <c r="AB212" s="48"/>
      <c r="AC212" s="48"/>
      <c r="AD212" s="48">
        <v>500</v>
      </c>
      <c r="AE212" s="48"/>
      <c r="AF212" s="48"/>
      <c r="AG212" s="48"/>
      <c r="AH212" s="48">
        <f>665*6+50*6</f>
        <v>4290</v>
      </c>
      <c r="AI212" s="49"/>
    </row>
    <row r="213" spans="1:35" x14ac:dyDescent="0.25">
      <c r="A213" s="48">
        <v>70</v>
      </c>
      <c r="B213" s="176" t="s">
        <v>946</v>
      </c>
      <c r="C213" s="176" t="s">
        <v>936</v>
      </c>
      <c r="D213" s="138">
        <f t="shared" si="10"/>
        <v>0</v>
      </c>
      <c r="E213" s="48"/>
      <c r="F213" s="48"/>
      <c r="G213" s="35"/>
      <c r="H213" s="35"/>
      <c r="I213" s="35"/>
      <c r="J213" s="35"/>
      <c r="K213" s="35"/>
      <c r="L213" s="35"/>
      <c r="M213" s="48"/>
      <c r="N213" s="48"/>
      <c r="O213" s="48"/>
      <c r="P213" s="48"/>
      <c r="Q213" s="48"/>
      <c r="R213" s="40"/>
      <c r="S213" s="40"/>
      <c r="T213" s="40"/>
      <c r="U213" s="40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9"/>
    </row>
    <row r="214" spans="1:35" x14ac:dyDescent="0.25">
      <c r="A214" s="48">
        <v>71</v>
      </c>
      <c r="B214" s="176" t="s">
        <v>947</v>
      </c>
      <c r="C214" s="176" t="s">
        <v>937</v>
      </c>
      <c r="D214" s="138">
        <f t="shared" si="10"/>
        <v>50</v>
      </c>
      <c r="E214" s="48"/>
      <c r="F214" s="48"/>
      <c r="G214" s="35"/>
      <c r="H214" s="35"/>
      <c r="I214" s="35"/>
      <c r="J214" s="35"/>
      <c r="K214" s="35"/>
      <c r="L214" s="35"/>
      <c r="M214" s="48"/>
      <c r="N214" s="48">
        <v>50</v>
      </c>
      <c r="O214" s="48"/>
      <c r="P214" s="48"/>
      <c r="Q214" s="48"/>
      <c r="R214" s="40"/>
      <c r="S214" s="40"/>
      <c r="T214" s="40"/>
      <c r="U214" s="40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9"/>
    </row>
    <row r="215" spans="1:35" x14ac:dyDescent="0.25">
      <c r="A215" s="48">
        <v>72</v>
      </c>
      <c r="B215" s="176" t="s">
        <v>948</v>
      </c>
      <c r="C215" s="176" t="s">
        <v>938</v>
      </c>
      <c r="D215" s="138">
        <f t="shared" si="10"/>
        <v>50</v>
      </c>
      <c r="E215" s="48"/>
      <c r="F215" s="48"/>
      <c r="G215" s="35"/>
      <c r="H215" s="35"/>
      <c r="I215" s="35"/>
      <c r="J215" s="35"/>
      <c r="K215" s="35"/>
      <c r="L215" s="35"/>
      <c r="M215" s="48"/>
      <c r="N215" s="48">
        <v>44</v>
      </c>
      <c r="O215" s="48">
        <v>6</v>
      </c>
      <c r="P215" s="48"/>
      <c r="Q215" s="48"/>
      <c r="R215" s="40"/>
      <c r="S215" s="40"/>
      <c r="T215" s="40"/>
      <c r="U215" s="40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9"/>
    </row>
    <row r="216" spans="1:35" x14ac:dyDescent="0.25">
      <c r="A216" s="48">
        <v>73</v>
      </c>
      <c r="B216" s="176" t="s">
        <v>949</v>
      </c>
      <c r="C216" s="176" t="s">
        <v>939</v>
      </c>
      <c r="D216" s="138">
        <f t="shared" si="10"/>
        <v>50</v>
      </c>
      <c r="E216" s="48"/>
      <c r="F216" s="48"/>
      <c r="G216" s="35"/>
      <c r="H216" s="35"/>
      <c r="I216" s="35"/>
      <c r="J216" s="35"/>
      <c r="K216" s="35"/>
      <c r="L216" s="35"/>
      <c r="M216" s="48"/>
      <c r="N216" s="48">
        <v>50</v>
      </c>
      <c r="O216" s="48"/>
      <c r="P216" s="48"/>
      <c r="Q216" s="48"/>
      <c r="R216" s="40"/>
      <c r="S216" s="40"/>
      <c r="T216" s="40"/>
      <c r="U216" s="40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9"/>
    </row>
    <row r="217" spans="1:35" x14ac:dyDescent="0.25">
      <c r="A217" s="48">
        <v>74</v>
      </c>
      <c r="B217" s="176" t="s">
        <v>950</v>
      </c>
      <c r="C217" s="176" t="s">
        <v>940</v>
      </c>
      <c r="D217" s="138">
        <f t="shared" si="10"/>
        <v>0</v>
      </c>
      <c r="E217" s="48"/>
      <c r="F217" s="48"/>
      <c r="G217" s="35"/>
      <c r="H217" s="35"/>
      <c r="I217" s="35"/>
      <c r="J217" s="35"/>
      <c r="K217" s="35"/>
      <c r="L217" s="35"/>
      <c r="M217" s="48"/>
      <c r="N217" s="48"/>
      <c r="O217" s="48"/>
      <c r="P217" s="48"/>
      <c r="Q217" s="48"/>
      <c r="R217" s="40"/>
      <c r="S217" s="40"/>
      <c r="T217" s="40"/>
      <c r="U217" s="40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9"/>
    </row>
    <row r="218" spans="1:35" x14ac:dyDescent="0.25">
      <c r="A218" s="48">
        <v>75</v>
      </c>
      <c r="B218" s="176" t="s">
        <v>951</v>
      </c>
      <c r="C218" s="176" t="s">
        <v>941</v>
      </c>
      <c r="D218" s="138">
        <f t="shared" si="10"/>
        <v>250</v>
      </c>
      <c r="E218" s="48"/>
      <c r="F218" s="48"/>
      <c r="G218" s="35"/>
      <c r="H218" s="35"/>
      <c r="I218" s="35"/>
      <c r="J218" s="35"/>
      <c r="K218" s="35"/>
      <c r="L218" s="35"/>
      <c r="M218" s="48"/>
      <c r="N218" s="48">
        <v>250</v>
      </c>
      <c r="O218" s="48"/>
      <c r="P218" s="48"/>
      <c r="Q218" s="48"/>
      <c r="R218" s="40"/>
      <c r="S218" s="40"/>
      <c r="T218" s="40"/>
      <c r="U218" s="40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9"/>
    </row>
    <row r="219" spans="1:35" x14ac:dyDescent="0.25">
      <c r="A219" s="48">
        <v>76</v>
      </c>
      <c r="B219" s="176" t="s">
        <v>952</v>
      </c>
      <c r="C219" s="176" t="s">
        <v>942</v>
      </c>
      <c r="D219" s="138">
        <f t="shared" si="10"/>
        <v>250</v>
      </c>
      <c r="E219" s="48"/>
      <c r="F219" s="48"/>
      <c r="G219" s="35"/>
      <c r="H219" s="35"/>
      <c r="I219" s="35"/>
      <c r="J219" s="35"/>
      <c r="K219" s="35"/>
      <c r="L219" s="35"/>
      <c r="M219" s="48"/>
      <c r="N219" s="48">
        <v>250</v>
      </c>
      <c r="O219" s="48"/>
      <c r="P219" s="48"/>
      <c r="Q219" s="48"/>
      <c r="R219" s="40"/>
      <c r="S219" s="40"/>
      <c r="T219" s="40"/>
      <c r="U219" s="40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9"/>
    </row>
    <row r="220" spans="1:35" x14ac:dyDescent="0.25">
      <c r="A220" s="48">
        <v>77</v>
      </c>
      <c r="B220" s="176" t="s">
        <v>953</v>
      </c>
      <c r="C220" s="176" t="s">
        <v>943</v>
      </c>
      <c r="D220" s="138">
        <f t="shared" si="10"/>
        <v>250</v>
      </c>
      <c r="E220" s="48"/>
      <c r="F220" s="48"/>
      <c r="G220" s="35"/>
      <c r="H220" s="35"/>
      <c r="I220" s="35"/>
      <c r="J220" s="35"/>
      <c r="K220" s="35"/>
      <c r="L220" s="35"/>
      <c r="M220" s="48"/>
      <c r="N220" s="48">
        <v>250</v>
      </c>
      <c r="O220" s="48"/>
      <c r="P220" s="48"/>
      <c r="Q220" s="48"/>
      <c r="R220" s="40"/>
      <c r="S220" s="40"/>
      <c r="T220" s="40"/>
      <c r="U220" s="40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9"/>
    </row>
    <row r="221" spans="1:35" x14ac:dyDescent="0.25">
      <c r="A221" s="48">
        <v>78</v>
      </c>
      <c r="B221" s="166" t="s">
        <v>185</v>
      </c>
      <c r="C221" s="166" t="s">
        <v>184</v>
      </c>
      <c r="D221" s="138">
        <f t="shared" si="10"/>
        <v>55000</v>
      </c>
      <c r="E221" s="48"/>
      <c r="F221" s="48"/>
      <c r="G221" s="35"/>
      <c r="H221" s="35"/>
      <c r="I221" s="35"/>
      <c r="J221" s="35"/>
      <c r="K221" s="35"/>
      <c r="L221" s="35"/>
      <c r="M221" s="48"/>
      <c r="N221" s="48"/>
      <c r="O221" s="48"/>
      <c r="P221" s="48"/>
      <c r="Q221" s="137"/>
      <c r="R221" s="40"/>
      <c r="S221" s="40"/>
      <c r="T221" s="40"/>
      <c r="U221" s="40"/>
      <c r="V221" s="48"/>
      <c r="W221" s="48"/>
      <c r="X221" s="48"/>
      <c r="Y221" s="48"/>
      <c r="Z221" s="48"/>
      <c r="AA221" s="48"/>
      <c r="AB221" s="48"/>
      <c r="AC221" s="48"/>
      <c r="AD221" s="137"/>
      <c r="AE221" s="48"/>
      <c r="AF221" s="48"/>
      <c r="AG221" s="48"/>
      <c r="AH221" s="48"/>
      <c r="AI221" s="49">
        <v>55000</v>
      </c>
    </row>
    <row r="222" spans="1:35" x14ac:dyDescent="0.25">
      <c r="A222" s="48">
        <v>79</v>
      </c>
      <c r="B222" s="176" t="s">
        <v>955</v>
      </c>
      <c r="C222" s="176" t="s">
        <v>954</v>
      </c>
      <c r="D222" s="138">
        <f t="shared" si="10"/>
        <v>240</v>
      </c>
      <c r="E222" s="48"/>
      <c r="F222" s="48"/>
      <c r="G222" s="35"/>
      <c r="H222" s="35"/>
      <c r="I222" s="35"/>
      <c r="J222" s="35"/>
      <c r="K222" s="35"/>
      <c r="L222" s="35"/>
      <c r="M222" s="48"/>
      <c r="N222" s="48">
        <v>240</v>
      </c>
      <c r="O222" s="48"/>
      <c r="P222" s="48"/>
      <c r="Q222" s="48"/>
      <c r="R222" s="40"/>
      <c r="S222" s="40"/>
      <c r="T222" s="40"/>
      <c r="U222" s="40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9"/>
    </row>
    <row r="223" spans="1:35" x14ac:dyDescent="0.25">
      <c r="A223" s="48">
        <v>80</v>
      </c>
      <c r="B223" s="176" t="s">
        <v>1198</v>
      </c>
      <c r="C223" s="176" t="s">
        <v>1197</v>
      </c>
      <c r="D223" s="138">
        <f t="shared" si="10"/>
        <v>1500</v>
      </c>
      <c r="E223" s="48"/>
      <c r="F223" s="48"/>
      <c r="G223" s="35"/>
      <c r="H223" s="35"/>
      <c r="I223" s="35"/>
      <c r="J223" s="35"/>
      <c r="K223" s="35"/>
      <c r="L223" s="35"/>
      <c r="M223" s="48"/>
      <c r="N223" s="48"/>
      <c r="O223" s="48"/>
      <c r="P223" s="48"/>
      <c r="Q223" s="48"/>
      <c r="R223" s="40"/>
      <c r="S223" s="40"/>
      <c r="T223" s="40"/>
      <c r="U223" s="40"/>
      <c r="V223" s="48"/>
      <c r="W223" s="48"/>
      <c r="X223" s="48"/>
      <c r="Y223" s="48"/>
      <c r="Z223" s="48"/>
      <c r="AA223" s="48"/>
      <c r="AB223" s="48"/>
      <c r="AC223" s="48"/>
      <c r="AD223" s="48"/>
      <c r="AE223" s="48">
        <v>1500</v>
      </c>
      <c r="AF223" s="48"/>
      <c r="AG223" s="48"/>
      <c r="AH223" s="48"/>
      <c r="AI223" s="49"/>
    </row>
    <row r="224" spans="1:35" x14ac:dyDescent="0.25">
      <c r="A224" s="48">
        <v>81</v>
      </c>
      <c r="B224" s="176" t="s">
        <v>1200</v>
      </c>
      <c r="C224" s="176" t="s">
        <v>1199</v>
      </c>
      <c r="D224" s="138">
        <f t="shared" si="10"/>
        <v>60</v>
      </c>
      <c r="E224" s="48"/>
      <c r="F224" s="48"/>
      <c r="G224" s="35"/>
      <c r="H224" s="35"/>
      <c r="I224" s="35"/>
      <c r="J224" s="35"/>
      <c r="K224" s="35"/>
      <c r="L224" s="35"/>
      <c r="M224" s="48"/>
      <c r="N224" s="48"/>
      <c r="O224" s="48"/>
      <c r="P224" s="48"/>
      <c r="Q224" s="48"/>
      <c r="R224" s="40"/>
      <c r="S224" s="40"/>
      <c r="T224" s="40"/>
      <c r="U224" s="40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>
        <v>60</v>
      </c>
      <c r="AG224" s="48"/>
      <c r="AH224" s="48"/>
      <c r="AI224" s="49"/>
    </row>
    <row r="225" spans="1:35" x14ac:dyDescent="0.25">
      <c r="A225" s="48">
        <v>82</v>
      </c>
      <c r="B225" s="176" t="s">
        <v>1204</v>
      </c>
      <c r="C225" s="176" t="s">
        <v>1201</v>
      </c>
      <c r="D225" s="138">
        <f t="shared" si="10"/>
        <v>240</v>
      </c>
      <c r="E225" s="48"/>
      <c r="F225" s="48"/>
      <c r="G225" s="35"/>
      <c r="H225" s="35"/>
      <c r="I225" s="35"/>
      <c r="J225" s="35"/>
      <c r="K225" s="35"/>
      <c r="L225" s="35"/>
      <c r="M225" s="48"/>
      <c r="N225" s="48"/>
      <c r="O225" s="48"/>
      <c r="P225" s="48"/>
      <c r="Q225" s="48"/>
      <c r="R225" s="40"/>
      <c r="S225" s="40"/>
      <c r="T225" s="40"/>
      <c r="U225" s="40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>
        <v>240</v>
      </c>
      <c r="AG225" s="48"/>
      <c r="AH225" s="48"/>
      <c r="AI225" s="49"/>
    </row>
    <row r="226" spans="1:35" x14ac:dyDescent="0.25">
      <c r="A226" s="48">
        <v>83</v>
      </c>
      <c r="B226" s="176" t="s">
        <v>1205</v>
      </c>
      <c r="C226" s="176" t="s">
        <v>1202</v>
      </c>
      <c r="D226" s="138">
        <f t="shared" si="10"/>
        <v>240</v>
      </c>
      <c r="E226" s="48"/>
      <c r="F226" s="48"/>
      <c r="G226" s="35"/>
      <c r="H226" s="35"/>
      <c r="I226" s="35"/>
      <c r="J226" s="35"/>
      <c r="K226" s="35"/>
      <c r="L226" s="35"/>
      <c r="M226" s="48"/>
      <c r="N226" s="48"/>
      <c r="O226" s="48"/>
      <c r="P226" s="48"/>
      <c r="Q226" s="137"/>
      <c r="R226" s="40"/>
      <c r="S226" s="40"/>
      <c r="T226" s="40"/>
      <c r="U226" s="40"/>
      <c r="V226" s="48"/>
      <c r="W226" s="48"/>
      <c r="X226" s="48"/>
      <c r="Y226" s="48"/>
      <c r="Z226" s="48"/>
      <c r="AA226" s="48"/>
      <c r="AB226" s="48"/>
      <c r="AC226" s="48"/>
      <c r="AD226" s="137"/>
      <c r="AE226" s="48"/>
      <c r="AF226" s="48">
        <f>12*20</f>
        <v>240</v>
      </c>
      <c r="AG226" s="48"/>
      <c r="AH226" s="48"/>
      <c r="AI226" s="49"/>
    </row>
    <row r="227" spans="1:35" x14ac:dyDescent="0.25">
      <c r="A227" s="48">
        <v>84</v>
      </c>
      <c r="B227" s="176" t="s">
        <v>1206</v>
      </c>
      <c r="C227" s="176" t="s">
        <v>1203</v>
      </c>
      <c r="D227" s="138">
        <f t="shared" si="10"/>
        <v>240</v>
      </c>
      <c r="E227" s="48"/>
      <c r="F227" s="48"/>
      <c r="G227" s="35"/>
      <c r="H227" s="35"/>
      <c r="I227" s="35"/>
      <c r="J227" s="35"/>
      <c r="K227" s="35"/>
      <c r="L227" s="35"/>
      <c r="M227" s="48"/>
      <c r="N227" s="48"/>
      <c r="O227" s="48"/>
      <c r="P227" s="48"/>
      <c r="Q227" s="48"/>
      <c r="R227" s="40"/>
      <c r="S227" s="40"/>
      <c r="T227" s="40"/>
      <c r="U227" s="40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9">
        <v>240</v>
      </c>
    </row>
    <row r="228" spans="1:35" x14ac:dyDescent="0.25">
      <c r="A228" s="48">
        <v>85</v>
      </c>
      <c r="B228" s="166" t="s">
        <v>776</v>
      </c>
      <c r="C228" s="166" t="s">
        <v>775</v>
      </c>
      <c r="D228" s="138">
        <f t="shared" si="10"/>
        <v>0</v>
      </c>
      <c r="E228" s="48"/>
      <c r="F228" s="48"/>
      <c r="G228" s="35"/>
      <c r="H228" s="35"/>
      <c r="I228" s="35"/>
      <c r="J228" s="35"/>
      <c r="K228" s="35"/>
      <c r="L228" s="35"/>
      <c r="M228" s="48"/>
      <c r="N228" s="48"/>
      <c r="O228" s="48"/>
      <c r="P228" s="48"/>
      <c r="Q228" s="48"/>
      <c r="R228" s="40"/>
      <c r="S228" s="40"/>
      <c r="T228" s="40"/>
      <c r="U228" s="40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9"/>
    </row>
    <row r="229" spans="1:35" x14ac:dyDescent="0.25">
      <c r="A229" s="48">
        <v>86</v>
      </c>
      <c r="B229" s="176" t="s">
        <v>1211</v>
      </c>
      <c r="C229" s="176" t="s">
        <v>1207</v>
      </c>
      <c r="D229" s="138">
        <f t="shared" si="10"/>
        <v>60</v>
      </c>
      <c r="E229" s="48"/>
      <c r="F229" s="48"/>
      <c r="G229" s="35"/>
      <c r="H229" s="35"/>
      <c r="I229" s="35"/>
      <c r="J229" s="35"/>
      <c r="K229" s="35"/>
      <c r="L229" s="35"/>
      <c r="M229" s="48"/>
      <c r="N229" s="48"/>
      <c r="O229" s="48"/>
      <c r="P229" s="48"/>
      <c r="Q229" s="48"/>
      <c r="R229" s="40"/>
      <c r="S229" s="40"/>
      <c r="T229" s="40"/>
      <c r="U229" s="40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>
        <v>60</v>
      </c>
      <c r="AG229" s="48"/>
      <c r="AH229" s="48"/>
      <c r="AI229" s="49"/>
    </row>
    <row r="230" spans="1:35" x14ac:dyDescent="0.25">
      <c r="A230" s="48">
        <v>87</v>
      </c>
      <c r="B230" s="176" t="s">
        <v>1212</v>
      </c>
      <c r="C230" s="176" t="s">
        <v>1208</v>
      </c>
      <c r="D230" s="138">
        <f t="shared" si="10"/>
        <v>60</v>
      </c>
      <c r="E230" s="48"/>
      <c r="F230" s="48"/>
      <c r="G230" s="35"/>
      <c r="H230" s="35"/>
      <c r="I230" s="35"/>
      <c r="J230" s="35"/>
      <c r="K230" s="35"/>
      <c r="L230" s="35"/>
      <c r="M230" s="48"/>
      <c r="N230" s="48"/>
      <c r="O230" s="48"/>
      <c r="P230" s="48"/>
      <c r="Q230" s="48"/>
      <c r="R230" s="40"/>
      <c r="S230" s="40"/>
      <c r="T230" s="40"/>
      <c r="U230" s="40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>
        <v>60</v>
      </c>
      <c r="AH230" s="48"/>
      <c r="AI230" s="49"/>
    </row>
    <row r="231" spans="1:35" x14ac:dyDescent="0.25">
      <c r="A231" s="48">
        <v>88</v>
      </c>
      <c r="B231" s="176" t="s">
        <v>1213</v>
      </c>
      <c r="C231" s="176" t="s">
        <v>1209</v>
      </c>
      <c r="D231" s="138">
        <f t="shared" si="10"/>
        <v>60</v>
      </c>
      <c r="E231" s="48"/>
      <c r="F231" s="48"/>
      <c r="G231" s="35"/>
      <c r="H231" s="35"/>
      <c r="I231" s="35"/>
      <c r="J231" s="35"/>
      <c r="K231" s="35"/>
      <c r="L231" s="35"/>
      <c r="M231" s="48"/>
      <c r="N231" s="48"/>
      <c r="O231" s="48"/>
      <c r="P231" s="48"/>
      <c r="Q231" s="48"/>
      <c r="R231" s="40"/>
      <c r="S231" s="40"/>
      <c r="T231" s="40"/>
      <c r="U231" s="40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>
        <v>60</v>
      </c>
      <c r="AG231" s="48"/>
      <c r="AH231" s="48"/>
      <c r="AI231" s="49"/>
    </row>
    <row r="232" spans="1:35" x14ac:dyDescent="0.25">
      <c r="A232" s="48">
        <v>89</v>
      </c>
      <c r="B232" s="176" t="s">
        <v>1214</v>
      </c>
      <c r="C232" s="176" t="s">
        <v>1210</v>
      </c>
      <c r="D232" s="138">
        <f t="shared" si="10"/>
        <v>120</v>
      </c>
      <c r="E232" s="48"/>
      <c r="F232" s="48"/>
      <c r="G232" s="35"/>
      <c r="H232" s="35"/>
      <c r="I232" s="35"/>
      <c r="J232" s="35"/>
      <c r="K232" s="35"/>
      <c r="L232" s="35"/>
      <c r="M232" s="48"/>
      <c r="N232" s="48"/>
      <c r="O232" s="48"/>
      <c r="P232" s="48"/>
      <c r="Q232" s="48"/>
      <c r="R232" s="40"/>
      <c r="S232" s="40"/>
      <c r="T232" s="40"/>
      <c r="U232" s="40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>
        <v>120</v>
      </c>
      <c r="AH232" s="48"/>
      <c r="AI232" s="49"/>
    </row>
    <row r="233" spans="1:35" x14ac:dyDescent="0.25">
      <c r="A233" s="48">
        <v>90</v>
      </c>
      <c r="B233" s="166" t="s">
        <v>153</v>
      </c>
      <c r="C233" s="166" t="s">
        <v>104</v>
      </c>
      <c r="D233" s="138">
        <f t="shared" si="10"/>
        <v>17700</v>
      </c>
      <c r="E233" s="48"/>
      <c r="F233" s="48"/>
      <c r="G233" s="35">
        <f>390*6</f>
        <v>2340</v>
      </c>
      <c r="H233" s="35">
        <v>5660</v>
      </c>
      <c r="I233" s="35"/>
      <c r="J233" s="35"/>
      <c r="K233" s="35"/>
      <c r="L233" s="35"/>
      <c r="M233" s="48">
        <f>1150*6+467*6-2</f>
        <v>9700</v>
      </c>
      <c r="N233" s="48"/>
      <c r="O233" s="48"/>
      <c r="P233" s="48"/>
      <c r="Q233" s="137"/>
      <c r="R233" s="40"/>
      <c r="S233" s="40"/>
      <c r="T233" s="40"/>
      <c r="U233" s="40"/>
      <c r="V233" s="48"/>
      <c r="W233" s="48"/>
      <c r="X233" s="48"/>
      <c r="Y233" s="48"/>
      <c r="Z233" s="48"/>
      <c r="AA233" s="48"/>
      <c r="AB233" s="48"/>
      <c r="AC233" s="48"/>
      <c r="AD233" s="137"/>
      <c r="AE233" s="48"/>
      <c r="AF233" s="48"/>
      <c r="AG233" s="48"/>
      <c r="AH233" s="48"/>
      <c r="AI233" s="49"/>
    </row>
    <row r="234" spans="1:35" x14ac:dyDescent="0.25">
      <c r="A234" s="48">
        <v>91</v>
      </c>
      <c r="B234" s="166" t="s">
        <v>482</v>
      </c>
      <c r="C234" s="166" t="s">
        <v>483</v>
      </c>
      <c r="D234" s="138">
        <f t="shared" si="10"/>
        <v>7500</v>
      </c>
      <c r="E234" s="48"/>
      <c r="F234" s="48"/>
      <c r="G234" s="35">
        <v>2444</v>
      </c>
      <c r="H234" s="35">
        <v>56</v>
      </c>
      <c r="I234" s="35"/>
      <c r="J234" s="35"/>
      <c r="K234" s="35"/>
      <c r="L234" s="35"/>
      <c r="M234" s="48"/>
      <c r="N234" s="48"/>
      <c r="O234" s="48"/>
      <c r="P234" s="48"/>
      <c r="Q234" s="48"/>
      <c r="R234" s="40"/>
      <c r="S234" s="40"/>
      <c r="T234" s="40"/>
      <c r="U234" s="40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>
        <v>5000</v>
      </c>
      <c r="AH234" s="48"/>
      <c r="AI234" s="49"/>
    </row>
    <row r="235" spans="1:35" x14ac:dyDescent="0.25">
      <c r="A235" s="48">
        <v>92</v>
      </c>
      <c r="B235" s="166" t="s">
        <v>190</v>
      </c>
      <c r="C235" s="166" t="s">
        <v>188</v>
      </c>
      <c r="D235" s="138">
        <f t="shared" ref="D235:D266" si="11">SUM(E235:AI235)</f>
        <v>0</v>
      </c>
      <c r="E235" s="48"/>
      <c r="F235" s="48"/>
      <c r="G235" s="35"/>
      <c r="H235" s="35"/>
      <c r="I235" s="35"/>
      <c r="J235" s="35"/>
      <c r="K235" s="35"/>
      <c r="L235" s="35"/>
      <c r="M235" s="48"/>
      <c r="N235" s="48"/>
      <c r="O235" s="48"/>
      <c r="P235" s="48"/>
      <c r="Q235" s="48"/>
      <c r="R235" s="40"/>
      <c r="S235" s="40"/>
      <c r="T235" s="40"/>
      <c r="U235" s="40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9"/>
    </row>
    <row r="236" spans="1:35" x14ac:dyDescent="0.25">
      <c r="A236" s="48">
        <v>93</v>
      </c>
      <c r="B236" s="166" t="s">
        <v>191</v>
      </c>
      <c r="C236" s="166" t="s">
        <v>189</v>
      </c>
      <c r="D236" s="138">
        <f t="shared" si="11"/>
        <v>200</v>
      </c>
      <c r="E236" s="48"/>
      <c r="F236" s="48"/>
      <c r="G236" s="35"/>
      <c r="H236" s="35"/>
      <c r="I236" s="35"/>
      <c r="J236" s="35"/>
      <c r="K236" s="35"/>
      <c r="L236" s="35"/>
      <c r="M236" s="48">
        <v>200</v>
      </c>
      <c r="N236" s="48"/>
      <c r="O236" s="48"/>
      <c r="P236" s="48"/>
      <c r="Q236" s="48"/>
      <c r="R236" s="40"/>
      <c r="S236" s="40"/>
      <c r="T236" s="40"/>
      <c r="U236" s="40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9"/>
    </row>
    <row r="237" spans="1:35" x14ac:dyDescent="0.25">
      <c r="A237" s="48">
        <v>94</v>
      </c>
      <c r="B237" s="166" t="s">
        <v>397</v>
      </c>
      <c r="C237" s="166" t="s">
        <v>400</v>
      </c>
      <c r="D237" s="138">
        <f t="shared" si="11"/>
        <v>0</v>
      </c>
      <c r="E237" s="48"/>
      <c r="F237" s="48"/>
      <c r="G237" s="35"/>
      <c r="H237" s="35"/>
      <c r="I237" s="35"/>
      <c r="J237" s="35"/>
      <c r="K237" s="35"/>
      <c r="L237" s="35"/>
      <c r="M237" s="48"/>
      <c r="N237" s="48"/>
      <c r="O237" s="48"/>
      <c r="P237" s="48"/>
      <c r="Q237" s="48"/>
      <c r="R237" s="40"/>
      <c r="S237" s="40"/>
      <c r="T237" s="40"/>
      <c r="U237" s="40"/>
      <c r="V237" s="48"/>
      <c r="W237" s="48"/>
      <c r="X237" s="48"/>
      <c r="Y237" s="48"/>
      <c r="Z237" s="48"/>
      <c r="AA237" s="156"/>
      <c r="AB237" s="48"/>
      <c r="AC237" s="48"/>
      <c r="AD237" s="48"/>
      <c r="AE237" s="48"/>
      <c r="AF237" s="48"/>
      <c r="AG237" s="48"/>
      <c r="AH237" s="48"/>
      <c r="AI237" s="49"/>
    </row>
    <row r="238" spans="1:35" x14ac:dyDescent="0.25">
      <c r="A238" s="48">
        <v>95</v>
      </c>
      <c r="B238" s="166" t="s">
        <v>398</v>
      </c>
      <c r="C238" s="166" t="s">
        <v>401</v>
      </c>
      <c r="D238" s="138">
        <f t="shared" si="11"/>
        <v>0</v>
      </c>
      <c r="E238" s="48"/>
      <c r="F238" s="48"/>
      <c r="G238" s="35"/>
      <c r="H238" s="35"/>
      <c r="I238" s="35"/>
      <c r="J238" s="35"/>
      <c r="K238" s="35"/>
      <c r="L238" s="35"/>
      <c r="M238" s="48"/>
      <c r="N238" s="48"/>
      <c r="O238" s="48"/>
      <c r="P238" s="48"/>
      <c r="Q238" s="48"/>
      <c r="R238" s="40"/>
      <c r="S238" s="40"/>
      <c r="T238" s="40"/>
      <c r="U238" s="40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9"/>
    </row>
    <row r="239" spans="1:35" x14ac:dyDescent="0.25">
      <c r="A239" s="48">
        <v>96</v>
      </c>
      <c r="B239" s="166" t="s">
        <v>399</v>
      </c>
      <c r="C239" s="166" t="s">
        <v>402</v>
      </c>
      <c r="D239" s="138">
        <f t="shared" si="11"/>
        <v>0</v>
      </c>
      <c r="E239" s="48"/>
      <c r="F239" s="48"/>
      <c r="G239" s="35"/>
      <c r="H239" s="35"/>
      <c r="I239" s="35"/>
      <c r="J239" s="35"/>
      <c r="K239" s="35"/>
      <c r="L239" s="35"/>
      <c r="M239" s="48"/>
      <c r="N239" s="48"/>
      <c r="O239" s="48"/>
      <c r="P239" s="48"/>
      <c r="Q239" s="48"/>
      <c r="R239" s="40"/>
      <c r="S239" s="40"/>
      <c r="T239" s="40"/>
      <c r="U239" s="40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9"/>
    </row>
    <row r="240" spans="1:35" x14ac:dyDescent="0.25">
      <c r="A240" s="48">
        <v>97</v>
      </c>
      <c r="B240" s="166" t="s">
        <v>193</v>
      </c>
      <c r="C240" s="166" t="s">
        <v>192</v>
      </c>
      <c r="D240" s="138">
        <f t="shared" si="11"/>
        <v>360</v>
      </c>
      <c r="E240" s="48"/>
      <c r="F240" s="48"/>
      <c r="G240" s="35"/>
      <c r="H240" s="35"/>
      <c r="I240" s="35"/>
      <c r="J240" s="35"/>
      <c r="K240" s="35"/>
      <c r="L240" s="35"/>
      <c r="M240" s="48"/>
      <c r="N240" s="48"/>
      <c r="O240" s="48"/>
      <c r="P240" s="48"/>
      <c r="Q240" s="48"/>
      <c r="R240" s="40"/>
      <c r="S240" s="40"/>
      <c r="T240" s="40"/>
      <c r="U240" s="40"/>
      <c r="V240" s="48"/>
      <c r="W240" s="48"/>
      <c r="X240" s="48"/>
      <c r="Y240" s="48"/>
      <c r="Z240" s="48"/>
      <c r="AA240" s="48"/>
      <c r="AB240" s="48">
        <v>360</v>
      </c>
      <c r="AC240" s="48"/>
      <c r="AD240" s="48"/>
      <c r="AE240" s="48"/>
      <c r="AF240" s="48"/>
      <c r="AG240" s="48"/>
      <c r="AH240" s="48"/>
      <c r="AI240" s="49"/>
    </row>
    <row r="241" spans="1:35" x14ac:dyDescent="0.25">
      <c r="A241" s="48">
        <v>98</v>
      </c>
      <c r="B241" s="166" t="s">
        <v>230</v>
      </c>
      <c r="C241" s="166" t="s">
        <v>229</v>
      </c>
      <c r="D241" s="138">
        <f t="shared" si="11"/>
        <v>0</v>
      </c>
      <c r="E241" s="48"/>
      <c r="F241" s="48"/>
      <c r="G241" s="35"/>
      <c r="H241" s="35"/>
      <c r="I241" s="35"/>
      <c r="J241" s="35"/>
      <c r="K241" s="35"/>
      <c r="L241" s="35"/>
      <c r="M241" s="48"/>
      <c r="N241" s="48"/>
      <c r="O241" s="48"/>
      <c r="P241" s="48"/>
      <c r="Q241" s="48"/>
      <c r="R241" s="40"/>
      <c r="S241" s="40"/>
      <c r="T241" s="40"/>
      <c r="U241" s="40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9"/>
    </row>
    <row r="242" spans="1:35" x14ac:dyDescent="0.25">
      <c r="A242" s="48">
        <v>99</v>
      </c>
      <c r="B242" s="166" t="s">
        <v>154</v>
      </c>
      <c r="C242" s="166" t="s">
        <v>105</v>
      </c>
      <c r="D242" s="138">
        <f t="shared" si="11"/>
        <v>0</v>
      </c>
      <c r="E242" s="48"/>
      <c r="F242" s="48"/>
      <c r="G242" s="35"/>
      <c r="H242" s="35"/>
      <c r="I242" s="35"/>
      <c r="J242" s="35"/>
      <c r="K242" s="35"/>
      <c r="L242" s="35"/>
      <c r="M242" s="48"/>
      <c r="N242" s="48"/>
      <c r="O242" s="48"/>
      <c r="P242" s="48"/>
      <c r="Q242" s="137"/>
      <c r="R242" s="40"/>
      <c r="S242" s="40"/>
      <c r="T242" s="40"/>
      <c r="U242" s="40"/>
      <c r="V242" s="48"/>
      <c r="W242" s="48"/>
      <c r="X242" s="48"/>
      <c r="Y242" s="48"/>
      <c r="Z242" s="48"/>
      <c r="AA242" s="48"/>
      <c r="AB242" s="48"/>
      <c r="AC242" s="48"/>
      <c r="AD242" s="137"/>
      <c r="AE242" s="48"/>
      <c r="AF242" s="48"/>
      <c r="AG242" s="48"/>
      <c r="AH242" s="48"/>
      <c r="AI242" s="49"/>
    </row>
    <row r="243" spans="1:35" x14ac:dyDescent="0.25">
      <c r="A243" s="48">
        <v>100</v>
      </c>
      <c r="B243" s="166" t="s">
        <v>155</v>
      </c>
      <c r="C243" s="166" t="s">
        <v>106</v>
      </c>
      <c r="D243" s="138">
        <f t="shared" si="11"/>
        <v>0</v>
      </c>
      <c r="E243" s="48"/>
      <c r="F243" s="48"/>
      <c r="G243" s="35"/>
      <c r="H243" s="35"/>
      <c r="I243" s="35"/>
      <c r="J243" s="35"/>
      <c r="K243" s="35"/>
      <c r="L243" s="35"/>
      <c r="M243" s="48"/>
      <c r="N243" s="48"/>
      <c r="O243" s="48"/>
      <c r="P243" s="48"/>
      <c r="Q243" s="48"/>
      <c r="R243" s="40"/>
      <c r="S243" s="40"/>
      <c r="T243" s="40"/>
      <c r="U243" s="40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9"/>
    </row>
    <row r="244" spans="1:35" x14ac:dyDescent="0.25">
      <c r="A244" s="48">
        <v>101</v>
      </c>
      <c r="B244" s="166" t="s">
        <v>156</v>
      </c>
      <c r="C244" s="166" t="s">
        <v>107</v>
      </c>
      <c r="D244" s="138">
        <f t="shared" si="11"/>
        <v>0</v>
      </c>
      <c r="E244" s="48"/>
      <c r="F244" s="48"/>
      <c r="G244" s="35"/>
      <c r="H244" s="35"/>
      <c r="I244" s="35"/>
      <c r="J244" s="35"/>
      <c r="K244" s="35"/>
      <c r="L244" s="35"/>
      <c r="M244" s="48"/>
      <c r="N244" s="48"/>
      <c r="O244" s="48"/>
      <c r="P244" s="48"/>
      <c r="Q244" s="48"/>
      <c r="R244" s="40"/>
      <c r="S244" s="40"/>
      <c r="T244" s="40"/>
      <c r="U244" s="40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9"/>
    </row>
    <row r="245" spans="1:35" x14ac:dyDescent="0.25">
      <c r="A245" s="48">
        <v>102</v>
      </c>
      <c r="B245" s="166" t="s">
        <v>234</v>
      </c>
      <c r="C245" s="166" t="s">
        <v>233</v>
      </c>
      <c r="D245" s="138">
        <f t="shared" si="11"/>
        <v>180</v>
      </c>
      <c r="E245" s="48"/>
      <c r="F245" s="48"/>
      <c r="G245" s="35"/>
      <c r="H245" s="35"/>
      <c r="I245" s="35"/>
      <c r="J245" s="35"/>
      <c r="K245" s="35"/>
      <c r="L245" s="35"/>
      <c r="M245" s="48"/>
      <c r="N245" s="48"/>
      <c r="O245" s="48"/>
      <c r="P245" s="48"/>
      <c r="Q245" s="48"/>
      <c r="R245" s="40"/>
      <c r="S245" s="40"/>
      <c r="T245" s="40"/>
      <c r="U245" s="40"/>
      <c r="V245" s="48"/>
      <c r="W245" s="48"/>
      <c r="X245" s="48">
        <f>30*6</f>
        <v>180</v>
      </c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9"/>
    </row>
    <row r="246" spans="1:35" x14ac:dyDescent="0.25">
      <c r="A246" s="48">
        <v>103</v>
      </c>
      <c r="B246" s="166" t="s">
        <v>195</v>
      </c>
      <c r="C246" s="166" t="s">
        <v>194</v>
      </c>
      <c r="D246" s="138">
        <f t="shared" si="11"/>
        <v>5000</v>
      </c>
      <c r="E246" s="48"/>
      <c r="F246" s="48"/>
      <c r="G246" s="35"/>
      <c r="H246" s="35"/>
      <c r="I246" s="35"/>
      <c r="J246" s="35"/>
      <c r="K246" s="35"/>
      <c r="L246" s="35"/>
      <c r="M246" s="48"/>
      <c r="N246" s="48"/>
      <c r="O246" s="48"/>
      <c r="P246" s="48"/>
      <c r="Q246" s="48"/>
      <c r="R246" s="40"/>
      <c r="S246" s="40"/>
      <c r="T246" s="40"/>
      <c r="U246" s="40">
        <v>5000</v>
      </c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9"/>
    </row>
    <row r="247" spans="1:35" x14ac:dyDescent="0.25">
      <c r="A247" s="48">
        <v>104</v>
      </c>
      <c r="B247" s="176" t="s">
        <v>1111</v>
      </c>
      <c r="C247" s="176" t="s">
        <v>1139</v>
      </c>
      <c r="D247" s="138">
        <f t="shared" si="11"/>
        <v>1900</v>
      </c>
      <c r="E247" s="48"/>
      <c r="F247" s="48"/>
      <c r="G247" s="35"/>
      <c r="H247" s="35"/>
      <c r="I247" s="35"/>
      <c r="J247" s="35"/>
      <c r="K247" s="35"/>
      <c r="L247" s="35"/>
      <c r="M247" s="48"/>
      <c r="N247" s="48"/>
      <c r="O247" s="48"/>
      <c r="P247" s="48"/>
      <c r="Q247" s="48"/>
      <c r="R247" s="40"/>
      <c r="S247" s="40"/>
      <c r="T247" s="40"/>
      <c r="U247" s="40"/>
      <c r="V247" s="48"/>
      <c r="W247" s="48"/>
      <c r="X247" s="48"/>
      <c r="Y247" s="48"/>
      <c r="Z247" s="48"/>
      <c r="AA247" s="48">
        <v>1000</v>
      </c>
      <c r="AB247" s="48">
        <v>900</v>
      </c>
      <c r="AC247" s="48"/>
      <c r="AD247" s="48"/>
      <c r="AE247" s="48"/>
      <c r="AF247" s="48"/>
      <c r="AG247" s="48"/>
      <c r="AH247" s="48"/>
      <c r="AI247" s="49"/>
    </row>
    <row r="248" spans="1:35" x14ac:dyDescent="0.25">
      <c r="A248" s="48">
        <v>105</v>
      </c>
      <c r="B248" s="176" t="s">
        <v>1143</v>
      </c>
      <c r="C248" s="176" t="s">
        <v>1140</v>
      </c>
      <c r="D248" s="138">
        <f t="shared" si="11"/>
        <v>500</v>
      </c>
      <c r="E248" s="48"/>
      <c r="F248" s="48"/>
      <c r="G248" s="35"/>
      <c r="H248" s="35"/>
      <c r="I248" s="35"/>
      <c r="J248" s="35"/>
      <c r="K248" s="35"/>
      <c r="L248" s="35"/>
      <c r="M248" s="48"/>
      <c r="N248" s="48"/>
      <c r="O248" s="48"/>
      <c r="P248" s="48"/>
      <c r="Q248" s="48"/>
      <c r="R248" s="40"/>
      <c r="S248" s="40"/>
      <c r="T248" s="40"/>
      <c r="U248" s="40"/>
      <c r="V248" s="48"/>
      <c r="W248" s="48"/>
      <c r="X248" s="48"/>
      <c r="Y248" s="48"/>
      <c r="Z248" s="48"/>
      <c r="AA248" s="48">
        <v>500</v>
      </c>
      <c r="AB248" s="48"/>
      <c r="AC248" s="48"/>
      <c r="AD248" s="48"/>
      <c r="AE248" s="48"/>
      <c r="AF248" s="48"/>
      <c r="AG248" s="48"/>
      <c r="AH248" s="48"/>
      <c r="AI248" s="49"/>
    </row>
    <row r="249" spans="1:35" x14ac:dyDescent="0.25">
      <c r="A249" s="48">
        <v>106</v>
      </c>
      <c r="B249" s="176" t="s">
        <v>1137</v>
      </c>
      <c r="C249" s="176" t="s">
        <v>1141</v>
      </c>
      <c r="D249" s="138">
        <f t="shared" si="11"/>
        <v>1300</v>
      </c>
      <c r="E249" s="48"/>
      <c r="F249" s="48"/>
      <c r="G249" s="35"/>
      <c r="H249" s="35"/>
      <c r="I249" s="35"/>
      <c r="J249" s="35"/>
      <c r="K249" s="35"/>
      <c r="L249" s="35"/>
      <c r="M249" s="48"/>
      <c r="N249" s="48"/>
      <c r="O249" s="48"/>
      <c r="P249" s="48"/>
      <c r="Q249" s="48"/>
      <c r="R249" s="40"/>
      <c r="S249" s="40"/>
      <c r="T249" s="40"/>
      <c r="U249" s="40"/>
      <c r="V249" s="48"/>
      <c r="W249" s="48"/>
      <c r="X249" s="48"/>
      <c r="Y249" s="48"/>
      <c r="Z249" s="48"/>
      <c r="AA249" s="48">
        <v>300</v>
      </c>
      <c r="AB249" s="48"/>
      <c r="AC249" s="48"/>
      <c r="AD249" s="48"/>
      <c r="AE249" s="48">
        <v>1000</v>
      </c>
      <c r="AF249" s="48"/>
      <c r="AG249" s="48"/>
      <c r="AH249" s="48"/>
      <c r="AI249" s="49"/>
    </row>
    <row r="250" spans="1:35" ht="15.75" x14ac:dyDescent="0.25">
      <c r="A250" s="48">
        <v>107</v>
      </c>
      <c r="B250" s="176" t="s">
        <v>1144</v>
      </c>
      <c r="C250" s="176" t="s">
        <v>1142</v>
      </c>
      <c r="D250" s="138">
        <f t="shared" si="11"/>
        <v>200</v>
      </c>
      <c r="E250" s="48"/>
      <c r="F250" s="48"/>
      <c r="G250" s="35"/>
      <c r="H250" s="35"/>
      <c r="I250" s="35"/>
      <c r="J250" s="35"/>
      <c r="K250" s="35"/>
      <c r="L250" s="35"/>
      <c r="M250" s="48"/>
      <c r="N250" s="48"/>
      <c r="O250" s="48"/>
      <c r="P250" s="48"/>
      <c r="Q250" s="160"/>
      <c r="R250" s="40"/>
      <c r="S250" s="40"/>
      <c r="T250" s="40"/>
      <c r="U250" s="40"/>
      <c r="V250" s="48"/>
      <c r="W250" s="48"/>
      <c r="X250" s="48"/>
      <c r="Y250" s="48"/>
      <c r="Z250" s="48"/>
      <c r="AA250" s="48">
        <v>200</v>
      </c>
      <c r="AB250" s="48"/>
      <c r="AC250" s="160"/>
      <c r="AD250" s="48"/>
      <c r="AE250" s="48"/>
      <c r="AF250" s="48"/>
      <c r="AG250" s="48"/>
      <c r="AH250" s="48"/>
      <c r="AI250" s="49"/>
    </row>
    <row r="251" spans="1:35" ht="15.75" x14ac:dyDescent="0.25">
      <c r="A251" s="48">
        <v>108</v>
      </c>
      <c r="B251" s="176" t="s">
        <v>1148</v>
      </c>
      <c r="C251" s="176" t="s">
        <v>1145</v>
      </c>
      <c r="D251" s="138">
        <f t="shared" si="11"/>
        <v>9950</v>
      </c>
      <c r="E251" s="48"/>
      <c r="F251" s="48"/>
      <c r="G251" s="35"/>
      <c r="H251" s="35"/>
      <c r="I251" s="35"/>
      <c r="J251" s="35"/>
      <c r="K251" s="35"/>
      <c r="L251" s="35"/>
      <c r="M251" s="48"/>
      <c r="N251" s="48"/>
      <c r="O251" s="48"/>
      <c r="P251" s="48"/>
      <c r="Q251" s="160"/>
      <c r="R251" s="40"/>
      <c r="S251" s="40"/>
      <c r="T251" s="40"/>
      <c r="U251" s="40"/>
      <c r="V251" s="48"/>
      <c r="W251" s="48"/>
      <c r="X251" s="48"/>
      <c r="Y251" s="48"/>
      <c r="Z251" s="48"/>
      <c r="AA251" s="48">
        <f>2250+256*30+20</f>
        <v>9950</v>
      </c>
      <c r="AB251" s="48"/>
      <c r="AC251" s="160"/>
      <c r="AD251" s="48"/>
      <c r="AE251" s="48"/>
      <c r="AF251" s="48"/>
      <c r="AG251" s="48"/>
      <c r="AH251" s="48"/>
      <c r="AI251" s="49"/>
    </row>
    <row r="252" spans="1:35" ht="15.75" x14ac:dyDescent="0.25">
      <c r="A252" s="48">
        <v>109</v>
      </c>
      <c r="B252" s="176" t="s">
        <v>1149</v>
      </c>
      <c r="C252" s="176" t="s">
        <v>1146</v>
      </c>
      <c r="D252" s="138">
        <f t="shared" si="11"/>
        <v>5000</v>
      </c>
      <c r="E252" s="48"/>
      <c r="F252" s="48"/>
      <c r="G252" s="35"/>
      <c r="H252" s="35"/>
      <c r="I252" s="35"/>
      <c r="J252" s="35"/>
      <c r="K252" s="35"/>
      <c r="L252" s="35"/>
      <c r="M252" s="48"/>
      <c r="N252" s="48"/>
      <c r="O252" s="48"/>
      <c r="P252" s="48"/>
      <c r="Q252" s="160"/>
      <c r="R252" s="40"/>
      <c r="S252" s="40"/>
      <c r="T252" s="40"/>
      <c r="U252" s="40"/>
      <c r="V252" s="48"/>
      <c r="W252" s="48"/>
      <c r="X252" s="48"/>
      <c r="Y252" s="48"/>
      <c r="Z252" s="48"/>
      <c r="AA252" s="48">
        <f>166*30+20</f>
        <v>5000</v>
      </c>
      <c r="AB252" s="48"/>
      <c r="AC252" s="160"/>
      <c r="AD252" s="48"/>
      <c r="AE252" s="48"/>
      <c r="AF252" s="48"/>
      <c r="AG252" s="48"/>
      <c r="AH252" s="48"/>
      <c r="AI252" s="49"/>
    </row>
    <row r="253" spans="1:35" ht="15.75" x14ac:dyDescent="0.25">
      <c r="A253" s="48">
        <v>110</v>
      </c>
      <c r="B253" s="176" t="s">
        <v>1150</v>
      </c>
      <c r="C253" s="176" t="s">
        <v>1147</v>
      </c>
      <c r="D253" s="138">
        <f t="shared" si="11"/>
        <v>4550</v>
      </c>
      <c r="E253" s="48"/>
      <c r="F253" s="48"/>
      <c r="G253" s="35"/>
      <c r="H253" s="35"/>
      <c r="I253" s="35"/>
      <c r="J253" s="35"/>
      <c r="K253" s="35"/>
      <c r="L253" s="35"/>
      <c r="M253" s="48"/>
      <c r="N253" s="48"/>
      <c r="O253" s="48"/>
      <c r="P253" s="48"/>
      <c r="Q253" s="160"/>
      <c r="R253" s="40"/>
      <c r="S253" s="40"/>
      <c r="T253" s="40"/>
      <c r="U253" s="40"/>
      <c r="V253" s="48"/>
      <c r="W253" s="48"/>
      <c r="X253" s="48"/>
      <c r="Y253" s="48"/>
      <c r="Z253" s="48"/>
      <c r="AA253" s="48">
        <f>151*30+20</f>
        <v>4550</v>
      </c>
      <c r="AB253" s="48"/>
      <c r="AC253" s="160"/>
      <c r="AD253" s="48"/>
      <c r="AE253" s="48"/>
      <c r="AF253" s="48"/>
      <c r="AG253" s="48"/>
      <c r="AH253" s="48"/>
      <c r="AI253" s="49"/>
    </row>
    <row r="254" spans="1:35" ht="15.75" x14ac:dyDescent="0.25">
      <c r="A254" s="48">
        <v>111</v>
      </c>
      <c r="B254" s="166" t="s">
        <v>741</v>
      </c>
      <c r="C254" s="166" t="s">
        <v>739</v>
      </c>
      <c r="D254" s="138">
        <f t="shared" si="11"/>
        <v>0</v>
      </c>
      <c r="E254" s="48"/>
      <c r="F254" s="48"/>
      <c r="G254" s="35"/>
      <c r="H254" s="35"/>
      <c r="I254" s="35"/>
      <c r="J254" s="35"/>
      <c r="K254" s="35"/>
      <c r="L254" s="35"/>
      <c r="M254" s="48"/>
      <c r="N254" s="48"/>
      <c r="O254" s="48"/>
      <c r="P254" s="48"/>
      <c r="Q254" s="160"/>
      <c r="R254" s="40"/>
      <c r="S254" s="40"/>
      <c r="T254" s="40"/>
      <c r="U254" s="40"/>
      <c r="V254" s="48"/>
      <c r="W254" s="48"/>
      <c r="X254" s="48"/>
      <c r="Y254" s="48"/>
      <c r="Z254" s="48"/>
      <c r="AA254" s="48"/>
      <c r="AB254" s="48"/>
      <c r="AC254" s="160"/>
      <c r="AD254" s="48"/>
      <c r="AE254" s="48"/>
      <c r="AF254" s="48"/>
      <c r="AG254" s="48"/>
      <c r="AH254" s="48"/>
      <c r="AI254" s="49"/>
    </row>
    <row r="255" spans="1:35" ht="15.75" x14ac:dyDescent="0.25">
      <c r="A255" s="48">
        <v>112</v>
      </c>
      <c r="B255" s="166" t="s">
        <v>742</v>
      </c>
      <c r="C255" s="166" t="s">
        <v>740</v>
      </c>
      <c r="D255" s="138">
        <f t="shared" si="11"/>
        <v>0</v>
      </c>
      <c r="E255" s="48"/>
      <c r="F255" s="48"/>
      <c r="G255" s="35"/>
      <c r="H255" s="35"/>
      <c r="I255" s="35"/>
      <c r="J255" s="35"/>
      <c r="K255" s="35"/>
      <c r="L255" s="35"/>
      <c r="M255" s="48"/>
      <c r="N255" s="48"/>
      <c r="O255" s="48"/>
      <c r="P255" s="48"/>
      <c r="Q255" s="160"/>
      <c r="R255" s="40"/>
      <c r="S255" s="40"/>
      <c r="T255" s="40"/>
      <c r="U255" s="40"/>
      <c r="V255" s="48"/>
      <c r="W255" s="48"/>
      <c r="X255" s="48"/>
      <c r="Y255" s="48"/>
      <c r="Z255" s="48"/>
      <c r="AA255" s="48"/>
      <c r="AB255" s="48"/>
      <c r="AC255" s="160"/>
      <c r="AD255" s="48"/>
      <c r="AE255" s="48"/>
      <c r="AF255" s="48"/>
      <c r="AG255" s="48"/>
      <c r="AH255" s="48"/>
      <c r="AI255" s="49"/>
    </row>
    <row r="256" spans="1:35" x14ac:dyDescent="0.25">
      <c r="A256" s="48">
        <v>113</v>
      </c>
      <c r="B256" s="166" t="s">
        <v>745</v>
      </c>
      <c r="C256" s="166" t="s">
        <v>743</v>
      </c>
      <c r="D256" s="138">
        <f t="shared" si="11"/>
        <v>0</v>
      </c>
      <c r="E256" s="48"/>
      <c r="F256" s="48"/>
      <c r="G256" s="35"/>
      <c r="H256" s="35"/>
      <c r="I256" s="35"/>
      <c r="J256" s="35"/>
      <c r="K256" s="35"/>
      <c r="L256" s="35"/>
      <c r="M256" s="48"/>
      <c r="N256" s="48"/>
      <c r="O256" s="48"/>
      <c r="P256" s="48"/>
      <c r="Q256" s="48"/>
      <c r="R256" s="40"/>
      <c r="S256" s="40"/>
      <c r="T256" s="40"/>
      <c r="U256" s="40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9"/>
    </row>
    <row r="257" spans="1:35" x14ac:dyDescent="0.25">
      <c r="A257" s="48">
        <v>114</v>
      </c>
      <c r="B257" s="166" t="s">
        <v>746</v>
      </c>
      <c r="C257" s="166" t="s">
        <v>744</v>
      </c>
      <c r="D257" s="138">
        <f t="shared" si="11"/>
        <v>0</v>
      </c>
      <c r="E257" s="48"/>
      <c r="F257" s="48"/>
      <c r="G257" s="35"/>
      <c r="H257" s="35"/>
      <c r="I257" s="35"/>
      <c r="J257" s="35"/>
      <c r="K257" s="35"/>
      <c r="L257" s="35"/>
      <c r="M257" s="48"/>
      <c r="N257" s="48"/>
      <c r="O257" s="48"/>
      <c r="P257" s="48"/>
      <c r="Q257" s="48"/>
      <c r="R257" s="40"/>
      <c r="S257" s="40"/>
      <c r="T257" s="40"/>
      <c r="U257" s="40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9"/>
    </row>
    <row r="258" spans="1:35" x14ac:dyDescent="0.25">
      <c r="A258" s="48">
        <v>115</v>
      </c>
      <c r="B258" s="166" t="s">
        <v>468</v>
      </c>
      <c r="C258" s="166" t="s">
        <v>469</v>
      </c>
      <c r="D258" s="138">
        <f t="shared" si="11"/>
        <v>0</v>
      </c>
      <c r="E258" s="48"/>
      <c r="F258" s="48"/>
      <c r="G258" s="35"/>
      <c r="H258" s="35"/>
      <c r="I258" s="35"/>
      <c r="J258" s="35"/>
      <c r="K258" s="35"/>
      <c r="L258" s="35"/>
      <c r="M258" s="48"/>
      <c r="N258" s="48"/>
      <c r="O258" s="48"/>
      <c r="P258" s="48"/>
      <c r="Q258" s="48"/>
      <c r="R258" s="40"/>
      <c r="S258" s="40"/>
      <c r="T258" s="40"/>
      <c r="U258" s="40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9"/>
    </row>
    <row r="259" spans="1:35" x14ac:dyDescent="0.25">
      <c r="A259" s="48">
        <v>116</v>
      </c>
      <c r="B259" s="166" t="s">
        <v>474</v>
      </c>
      <c r="C259" s="166" t="s">
        <v>475</v>
      </c>
      <c r="D259" s="138">
        <f t="shared" si="11"/>
        <v>0</v>
      </c>
      <c r="E259" s="48"/>
      <c r="F259" s="48"/>
      <c r="G259" s="35"/>
      <c r="H259" s="35"/>
      <c r="I259" s="35"/>
      <c r="J259" s="35"/>
      <c r="K259" s="35"/>
      <c r="L259" s="35"/>
      <c r="M259" s="48"/>
      <c r="N259" s="48"/>
      <c r="O259" s="48"/>
      <c r="P259" s="48"/>
      <c r="Q259" s="48"/>
      <c r="R259" s="40"/>
      <c r="S259" s="40"/>
      <c r="T259" s="40"/>
      <c r="U259" s="40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9"/>
    </row>
    <row r="260" spans="1:35" x14ac:dyDescent="0.25">
      <c r="A260" s="48">
        <v>117</v>
      </c>
      <c r="B260" s="166" t="s">
        <v>222</v>
      </c>
      <c r="C260" s="166" t="s">
        <v>221</v>
      </c>
      <c r="D260" s="138">
        <f t="shared" si="11"/>
        <v>0</v>
      </c>
      <c r="E260" s="48"/>
      <c r="F260" s="48"/>
      <c r="G260" s="35"/>
      <c r="H260" s="35"/>
      <c r="I260" s="35"/>
      <c r="J260" s="35"/>
      <c r="K260" s="35"/>
      <c r="L260" s="35"/>
      <c r="M260" s="48"/>
      <c r="N260" s="48"/>
      <c r="O260" s="48"/>
      <c r="P260" s="48"/>
      <c r="Q260" s="137"/>
      <c r="R260" s="40"/>
      <c r="S260" s="40"/>
      <c r="T260" s="40"/>
      <c r="U260" s="40"/>
      <c r="V260" s="48"/>
      <c r="W260" s="48"/>
      <c r="X260" s="48"/>
      <c r="Y260" s="48"/>
      <c r="Z260" s="48"/>
      <c r="AA260" s="48"/>
      <c r="AB260" s="48"/>
      <c r="AC260" s="48"/>
      <c r="AD260" s="137"/>
      <c r="AE260" s="48"/>
      <c r="AF260" s="48"/>
      <c r="AG260" s="48"/>
      <c r="AH260" s="48"/>
      <c r="AI260" s="49"/>
    </row>
    <row r="261" spans="1:35" x14ac:dyDescent="0.25">
      <c r="A261" s="48">
        <v>118</v>
      </c>
      <c r="B261" s="176" t="s">
        <v>963</v>
      </c>
      <c r="C261" s="176" t="s">
        <v>960</v>
      </c>
      <c r="D261" s="138">
        <f t="shared" si="11"/>
        <v>2500</v>
      </c>
      <c r="E261" s="48"/>
      <c r="F261" s="48"/>
      <c r="G261" s="35"/>
      <c r="H261" s="35"/>
      <c r="I261" s="35"/>
      <c r="J261" s="35"/>
      <c r="K261" s="35"/>
      <c r="L261" s="35"/>
      <c r="M261" s="48">
        <v>2500</v>
      </c>
      <c r="N261" s="48"/>
      <c r="O261" s="48"/>
      <c r="P261" s="48"/>
      <c r="Q261" s="48"/>
      <c r="R261" s="40"/>
      <c r="S261" s="40"/>
      <c r="T261" s="40"/>
      <c r="U261" s="40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9"/>
    </row>
    <row r="262" spans="1:35" x14ac:dyDescent="0.25">
      <c r="A262" s="48">
        <v>119</v>
      </c>
      <c r="B262" s="176" t="s">
        <v>964</v>
      </c>
      <c r="C262" s="176" t="s">
        <v>961</v>
      </c>
      <c r="D262" s="138">
        <f t="shared" si="11"/>
        <v>4500</v>
      </c>
      <c r="E262" s="48"/>
      <c r="F262" s="48"/>
      <c r="G262" s="35"/>
      <c r="H262" s="35"/>
      <c r="I262" s="35"/>
      <c r="J262" s="35"/>
      <c r="K262" s="35"/>
      <c r="L262" s="35"/>
      <c r="M262" s="48"/>
      <c r="N262" s="48"/>
      <c r="O262" s="48"/>
      <c r="P262" s="48"/>
      <c r="Q262" s="48"/>
      <c r="R262" s="40"/>
      <c r="S262" s="40"/>
      <c r="T262" s="40"/>
      <c r="U262" s="40"/>
      <c r="V262" s="48">
        <f>275*15</f>
        <v>4125</v>
      </c>
      <c r="W262" s="48">
        <v>375</v>
      </c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9"/>
    </row>
    <row r="263" spans="1:35" x14ac:dyDescent="0.25">
      <c r="A263" s="48">
        <v>120</v>
      </c>
      <c r="B263" s="176" t="s">
        <v>965</v>
      </c>
      <c r="C263" s="176" t="s">
        <v>962</v>
      </c>
      <c r="D263" s="138">
        <f t="shared" si="11"/>
        <v>5000</v>
      </c>
      <c r="E263" s="48"/>
      <c r="F263" s="48"/>
      <c r="G263" s="35"/>
      <c r="H263" s="35"/>
      <c r="I263" s="35"/>
      <c r="J263" s="35"/>
      <c r="K263" s="35"/>
      <c r="L263" s="35"/>
      <c r="M263" s="48"/>
      <c r="N263" s="48"/>
      <c r="O263" s="48"/>
      <c r="P263" s="48"/>
      <c r="Q263" s="48"/>
      <c r="R263" s="40"/>
      <c r="S263" s="40"/>
      <c r="T263" s="40"/>
      <c r="U263" s="40"/>
      <c r="V263" s="48"/>
      <c r="W263" s="48">
        <v>5000</v>
      </c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9"/>
    </row>
    <row r="264" spans="1:35" x14ac:dyDescent="0.25">
      <c r="A264" s="48">
        <v>121</v>
      </c>
      <c r="B264" s="166" t="s">
        <v>278</v>
      </c>
      <c r="C264" s="166" t="s">
        <v>277</v>
      </c>
      <c r="D264" s="138">
        <f t="shared" si="11"/>
        <v>0</v>
      </c>
      <c r="E264" s="48"/>
      <c r="F264" s="48"/>
      <c r="G264" s="35"/>
      <c r="H264" s="35"/>
      <c r="I264" s="35"/>
      <c r="J264" s="35"/>
      <c r="K264" s="35"/>
      <c r="L264" s="35"/>
      <c r="M264" s="48"/>
      <c r="N264" s="48"/>
      <c r="O264" s="48"/>
      <c r="P264" s="48"/>
      <c r="Q264" s="48"/>
      <c r="R264" s="40"/>
      <c r="S264" s="40"/>
      <c r="T264" s="40"/>
      <c r="U264" s="40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9"/>
    </row>
    <row r="265" spans="1:35" x14ac:dyDescent="0.25">
      <c r="A265" s="48">
        <v>122</v>
      </c>
      <c r="B265" s="166" t="s">
        <v>919</v>
      </c>
      <c r="C265" s="166" t="s">
        <v>914</v>
      </c>
      <c r="D265" s="138">
        <f t="shared" si="11"/>
        <v>0</v>
      </c>
      <c r="E265" s="48"/>
      <c r="F265" s="48"/>
      <c r="G265" s="35"/>
      <c r="H265" s="35"/>
      <c r="I265" s="35"/>
      <c r="J265" s="35"/>
      <c r="K265" s="35"/>
      <c r="L265" s="35"/>
      <c r="M265" s="48"/>
      <c r="N265" s="48"/>
      <c r="O265" s="48"/>
      <c r="P265" s="48"/>
      <c r="Q265" s="48"/>
      <c r="R265" s="40"/>
      <c r="S265" s="40"/>
      <c r="T265" s="40"/>
      <c r="U265" s="40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9"/>
    </row>
    <row r="266" spans="1:35" x14ac:dyDescent="0.25">
      <c r="A266" s="48">
        <v>123</v>
      </c>
      <c r="B266" s="166" t="s">
        <v>920</v>
      </c>
      <c r="C266" s="166" t="s">
        <v>915</v>
      </c>
      <c r="D266" s="138">
        <f t="shared" si="11"/>
        <v>0</v>
      </c>
      <c r="E266" s="48"/>
      <c r="F266" s="48"/>
      <c r="G266" s="35"/>
      <c r="H266" s="35"/>
      <c r="I266" s="35"/>
      <c r="J266" s="35"/>
      <c r="K266" s="35"/>
      <c r="L266" s="35"/>
      <c r="M266" s="48"/>
      <c r="N266" s="48"/>
      <c r="O266" s="48"/>
      <c r="P266" s="48"/>
      <c r="Q266" s="48"/>
      <c r="R266" s="40"/>
      <c r="S266" s="40"/>
      <c r="T266" s="40"/>
      <c r="U266" s="40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9"/>
    </row>
    <row r="267" spans="1:35" x14ac:dyDescent="0.25">
      <c r="A267" s="48">
        <v>124</v>
      </c>
      <c r="B267" s="166" t="s">
        <v>921</v>
      </c>
      <c r="C267" s="166" t="s">
        <v>916</v>
      </c>
      <c r="D267" s="138">
        <f t="shared" ref="D267:D298" si="12">SUM(E267:AI267)</f>
        <v>144</v>
      </c>
      <c r="E267" s="48"/>
      <c r="F267" s="48"/>
      <c r="G267" s="35"/>
      <c r="H267" s="35"/>
      <c r="I267" s="35"/>
      <c r="J267" s="35"/>
      <c r="K267" s="35"/>
      <c r="L267" s="35"/>
      <c r="M267" s="48"/>
      <c r="N267" s="48"/>
      <c r="O267" s="48"/>
      <c r="P267" s="48"/>
      <c r="Q267" s="48"/>
      <c r="R267" s="40"/>
      <c r="S267" s="40"/>
      <c r="T267" s="40"/>
      <c r="U267" s="40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9">
        <v>144</v>
      </c>
    </row>
    <row r="268" spans="1:35" x14ac:dyDescent="0.25">
      <c r="A268" s="48">
        <v>125</v>
      </c>
      <c r="B268" s="166" t="s">
        <v>922</v>
      </c>
      <c r="C268" s="166" t="s">
        <v>917</v>
      </c>
      <c r="D268" s="138">
        <f t="shared" si="12"/>
        <v>0</v>
      </c>
      <c r="E268" s="48"/>
      <c r="F268" s="48"/>
      <c r="G268" s="35"/>
      <c r="H268" s="35"/>
      <c r="I268" s="35"/>
      <c r="J268" s="35"/>
      <c r="K268" s="35"/>
      <c r="L268" s="35"/>
      <c r="M268" s="48"/>
      <c r="N268" s="48"/>
      <c r="O268" s="48"/>
      <c r="P268" s="48"/>
      <c r="Q268" s="137"/>
      <c r="R268" s="40"/>
      <c r="S268" s="40"/>
      <c r="T268" s="40"/>
      <c r="U268" s="40"/>
      <c r="V268" s="48"/>
      <c r="W268" s="48"/>
      <c r="X268" s="48"/>
      <c r="Y268" s="48"/>
      <c r="Z268" s="48"/>
      <c r="AA268" s="48"/>
      <c r="AB268" s="48"/>
      <c r="AC268" s="48"/>
      <c r="AD268" s="137"/>
      <c r="AE268" s="48"/>
      <c r="AF268" s="48"/>
      <c r="AG268" s="48"/>
      <c r="AH268" s="48"/>
      <c r="AI268" s="49"/>
    </row>
    <row r="269" spans="1:35" x14ac:dyDescent="0.25">
      <c r="A269" s="48">
        <v>126</v>
      </c>
      <c r="B269" s="166" t="s">
        <v>923</v>
      </c>
      <c r="C269" s="166" t="s">
        <v>918</v>
      </c>
      <c r="D269" s="138">
        <f t="shared" si="12"/>
        <v>8000</v>
      </c>
      <c r="E269" s="48"/>
      <c r="F269" s="48"/>
      <c r="G269" s="35"/>
      <c r="H269" s="35"/>
      <c r="I269" s="35"/>
      <c r="J269" s="35"/>
      <c r="K269" s="35"/>
      <c r="L269" s="35"/>
      <c r="M269" s="48"/>
      <c r="N269" s="48"/>
      <c r="O269" s="48"/>
      <c r="P269" s="48"/>
      <c r="Q269" s="48"/>
      <c r="R269" s="40"/>
      <c r="S269" s="40"/>
      <c r="T269" s="40"/>
      <c r="U269" s="40"/>
      <c r="V269" s="48"/>
      <c r="W269" s="48">
        <f>533*15+5</f>
        <v>8000</v>
      </c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9"/>
    </row>
    <row r="270" spans="1:35" x14ac:dyDescent="0.25">
      <c r="A270" s="48">
        <v>127</v>
      </c>
      <c r="B270" s="166" t="s">
        <v>157</v>
      </c>
      <c r="C270" s="166" t="s">
        <v>108</v>
      </c>
      <c r="D270" s="138">
        <f t="shared" si="12"/>
        <v>1000</v>
      </c>
      <c r="E270" s="48"/>
      <c r="F270" s="48"/>
      <c r="G270" s="35"/>
      <c r="H270" s="35"/>
      <c r="I270" s="35"/>
      <c r="J270" s="35"/>
      <c r="K270" s="35"/>
      <c r="L270" s="35"/>
      <c r="M270" s="48">
        <f>996+4</f>
        <v>1000</v>
      </c>
      <c r="N270" s="48"/>
      <c r="O270" s="48"/>
      <c r="P270" s="48"/>
      <c r="Q270" s="48"/>
      <c r="R270" s="40"/>
      <c r="S270" s="40"/>
      <c r="T270" s="40"/>
      <c r="U270" s="40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9"/>
    </row>
    <row r="271" spans="1:35" x14ac:dyDescent="0.25">
      <c r="A271" s="48">
        <v>128</v>
      </c>
      <c r="B271" s="176" t="s">
        <v>883</v>
      </c>
      <c r="C271" s="166" t="s">
        <v>882</v>
      </c>
      <c r="D271" s="138">
        <f t="shared" si="12"/>
        <v>3460</v>
      </c>
      <c r="E271" s="48"/>
      <c r="F271" s="48"/>
      <c r="G271" s="35"/>
      <c r="H271" s="35"/>
      <c r="I271" s="35"/>
      <c r="J271" s="35"/>
      <c r="K271" s="35"/>
      <c r="L271" s="35"/>
      <c r="M271" s="48"/>
      <c r="N271" s="48"/>
      <c r="O271" s="48"/>
      <c r="P271" s="48"/>
      <c r="Q271" s="48"/>
      <c r="R271" s="40"/>
      <c r="S271" s="40"/>
      <c r="T271" s="40"/>
      <c r="U271" s="40">
        <f>400*4</f>
        <v>1600</v>
      </c>
      <c r="V271" s="48">
        <f>325*4+139*4</f>
        <v>1856</v>
      </c>
      <c r="W271" s="48">
        <v>4</v>
      </c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9"/>
    </row>
    <row r="272" spans="1:35" x14ac:dyDescent="0.25">
      <c r="A272" s="48">
        <v>129</v>
      </c>
      <c r="B272" s="176" t="s">
        <v>886</v>
      </c>
      <c r="C272" s="166" t="s">
        <v>884</v>
      </c>
      <c r="D272" s="138">
        <f t="shared" si="12"/>
        <v>0</v>
      </c>
      <c r="E272" s="48"/>
      <c r="F272" s="48"/>
      <c r="G272" s="35"/>
      <c r="H272" s="35"/>
      <c r="I272" s="35"/>
      <c r="J272" s="35"/>
      <c r="K272" s="35"/>
      <c r="L272" s="35"/>
      <c r="M272" s="48"/>
      <c r="N272" s="48"/>
      <c r="O272" s="48"/>
      <c r="P272" s="48"/>
      <c r="Q272" s="48"/>
      <c r="R272" s="40"/>
      <c r="S272" s="40"/>
      <c r="T272" s="40"/>
      <c r="U272" s="40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9"/>
    </row>
    <row r="273" spans="1:35" x14ac:dyDescent="0.25">
      <c r="A273" s="48">
        <v>130</v>
      </c>
      <c r="B273" s="176" t="s">
        <v>887</v>
      </c>
      <c r="C273" s="166" t="s">
        <v>885</v>
      </c>
      <c r="D273" s="138">
        <f t="shared" si="12"/>
        <v>0</v>
      </c>
      <c r="E273" s="48"/>
      <c r="F273" s="48"/>
      <c r="G273" s="35"/>
      <c r="H273" s="35"/>
      <c r="I273" s="35"/>
      <c r="J273" s="35"/>
      <c r="K273" s="35"/>
      <c r="L273" s="35"/>
      <c r="M273" s="48"/>
      <c r="N273" s="48"/>
      <c r="O273" s="48"/>
      <c r="P273" s="48"/>
      <c r="Q273" s="48"/>
      <c r="R273" s="40"/>
      <c r="S273" s="40"/>
      <c r="T273" s="40"/>
      <c r="U273" s="40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9"/>
    </row>
    <row r="274" spans="1:35" x14ac:dyDescent="0.25">
      <c r="A274" s="48">
        <v>131</v>
      </c>
      <c r="B274" s="166" t="s">
        <v>158</v>
      </c>
      <c r="C274" s="166" t="s">
        <v>109</v>
      </c>
      <c r="D274" s="138">
        <f t="shared" si="12"/>
        <v>0</v>
      </c>
      <c r="E274" s="48"/>
      <c r="F274" s="48"/>
      <c r="G274" s="35"/>
      <c r="H274" s="35"/>
      <c r="I274" s="35"/>
      <c r="J274" s="35"/>
      <c r="K274" s="35"/>
      <c r="L274" s="35"/>
      <c r="M274" s="48"/>
      <c r="N274" s="48"/>
      <c r="O274" s="48"/>
      <c r="P274" s="48"/>
      <c r="Q274" s="48"/>
      <c r="R274" s="40"/>
      <c r="S274" s="40"/>
      <c r="T274" s="40"/>
      <c r="U274" s="40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9"/>
    </row>
    <row r="275" spans="1:35" x14ac:dyDescent="0.25">
      <c r="A275" s="48">
        <v>132</v>
      </c>
      <c r="B275" s="166" t="s">
        <v>715</v>
      </c>
      <c r="C275" s="166" t="s">
        <v>713</v>
      </c>
      <c r="D275" s="138">
        <f t="shared" si="12"/>
        <v>0</v>
      </c>
      <c r="E275" s="48"/>
      <c r="F275" s="48"/>
      <c r="G275" s="35"/>
      <c r="H275" s="35"/>
      <c r="I275" s="35"/>
      <c r="J275" s="35"/>
      <c r="K275" s="35"/>
      <c r="L275" s="35"/>
      <c r="M275" s="48"/>
      <c r="N275" s="48"/>
      <c r="O275" s="48"/>
      <c r="P275" s="48"/>
      <c r="Q275" s="48"/>
      <c r="R275" s="40"/>
      <c r="S275" s="40"/>
      <c r="T275" s="40"/>
      <c r="U275" s="40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9"/>
    </row>
    <row r="276" spans="1:35" x14ac:dyDescent="0.25">
      <c r="A276" s="48">
        <v>133</v>
      </c>
      <c r="B276" s="166" t="s">
        <v>716</v>
      </c>
      <c r="C276" s="166" t="s">
        <v>714</v>
      </c>
      <c r="D276" s="138">
        <f t="shared" si="12"/>
        <v>0</v>
      </c>
      <c r="E276" s="48"/>
      <c r="F276" s="48"/>
      <c r="G276" s="35"/>
      <c r="H276" s="35"/>
      <c r="I276" s="35"/>
      <c r="J276" s="35"/>
      <c r="K276" s="35"/>
      <c r="L276" s="35"/>
      <c r="M276" s="48"/>
      <c r="N276" s="48"/>
      <c r="O276" s="48"/>
      <c r="P276" s="48"/>
      <c r="Q276" s="48"/>
      <c r="R276" s="40"/>
      <c r="S276" s="40"/>
      <c r="T276" s="40"/>
      <c r="U276" s="40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9"/>
    </row>
    <row r="277" spans="1:35" x14ac:dyDescent="0.25">
      <c r="A277" s="48">
        <v>134</v>
      </c>
      <c r="B277" s="166" t="s">
        <v>718</v>
      </c>
      <c r="C277" s="166" t="s">
        <v>717</v>
      </c>
      <c r="D277" s="138">
        <f t="shared" si="12"/>
        <v>0</v>
      </c>
      <c r="E277" s="48"/>
      <c r="F277" s="48"/>
      <c r="G277" s="35"/>
      <c r="H277" s="35"/>
      <c r="I277" s="35"/>
      <c r="J277" s="35"/>
      <c r="K277" s="35"/>
      <c r="L277" s="35"/>
      <c r="M277" s="48"/>
      <c r="N277" s="48"/>
      <c r="O277" s="48"/>
      <c r="P277" s="48"/>
      <c r="Q277" s="48"/>
      <c r="R277" s="40"/>
      <c r="S277" s="40"/>
      <c r="T277" s="40"/>
      <c r="U277" s="40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9"/>
    </row>
    <row r="278" spans="1:35" x14ac:dyDescent="0.25">
      <c r="A278" s="48">
        <v>135</v>
      </c>
      <c r="B278" s="176" t="s">
        <v>1079</v>
      </c>
      <c r="C278" s="176" t="s">
        <v>1077</v>
      </c>
      <c r="D278" s="138">
        <f t="shared" si="12"/>
        <v>4800</v>
      </c>
      <c r="E278" s="48"/>
      <c r="F278" s="48"/>
      <c r="G278" s="35"/>
      <c r="H278" s="35"/>
      <c r="I278" s="35"/>
      <c r="J278" s="35"/>
      <c r="K278" s="35"/>
      <c r="L278" s="35"/>
      <c r="M278" s="48"/>
      <c r="N278" s="48"/>
      <c r="O278" s="48"/>
      <c r="P278" s="48"/>
      <c r="Q278" s="137"/>
      <c r="R278" s="40"/>
      <c r="S278" s="40"/>
      <c r="T278" s="40"/>
      <c r="U278" s="40"/>
      <c r="V278" s="48">
        <f>86*15+233*15</f>
        <v>4785</v>
      </c>
      <c r="W278" s="48">
        <v>15</v>
      </c>
      <c r="X278" s="48"/>
      <c r="Y278" s="48"/>
      <c r="Z278" s="48"/>
      <c r="AA278" s="48"/>
      <c r="AB278" s="48"/>
      <c r="AC278" s="48"/>
      <c r="AD278" s="137"/>
      <c r="AE278" s="48"/>
      <c r="AF278" s="48"/>
      <c r="AG278" s="48"/>
      <c r="AH278" s="48"/>
      <c r="AI278" s="49"/>
    </row>
    <row r="279" spans="1:35" x14ac:dyDescent="0.25">
      <c r="A279" s="48">
        <v>136</v>
      </c>
      <c r="B279" s="176" t="s">
        <v>1080</v>
      </c>
      <c r="C279" s="176" t="s">
        <v>1078</v>
      </c>
      <c r="D279" s="138">
        <f t="shared" si="12"/>
        <v>3900</v>
      </c>
      <c r="E279" s="48"/>
      <c r="F279" s="48"/>
      <c r="G279" s="35"/>
      <c r="H279" s="35"/>
      <c r="I279" s="35"/>
      <c r="J279" s="35"/>
      <c r="K279" s="35"/>
      <c r="L279" s="35"/>
      <c r="M279" s="48"/>
      <c r="N279" s="48"/>
      <c r="O279" s="48"/>
      <c r="P279" s="48"/>
      <c r="Q279" s="132"/>
      <c r="R279" s="40"/>
      <c r="S279" s="40"/>
      <c r="T279" s="40"/>
      <c r="U279" s="40"/>
      <c r="V279" s="48">
        <v>3900</v>
      </c>
      <c r="W279" s="48"/>
      <c r="X279" s="48"/>
      <c r="Y279" s="48"/>
      <c r="Z279" s="48"/>
      <c r="AA279" s="48"/>
      <c r="AB279" s="48"/>
      <c r="AC279" s="48"/>
      <c r="AD279" s="132"/>
      <c r="AE279" s="48"/>
      <c r="AF279" s="48"/>
      <c r="AG279" s="48"/>
      <c r="AH279" s="48"/>
      <c r="AI279" s="49"/>
    </row>
    <row r="280" spans="1:35" x14ac:dyDescent="0.25">
      <c r="A280" s="48">
        <v>137</v>
      </c>
      <c r="B280" s="176" t="s">
        <v>1082</v>
      </c>
      <c r="C280" s="176" t="s">
        <v>1081</v>
      </c>
      <c r="D280" s="138">
        <f t="shared" si="12"/>
        <v>2800</v>
      </c>
      <c r="E280" s="48"/>
      <c r="F280" s="48"/>
      <c r="G280" s="35"/>
      <c r="H280" s="35"/>
      <c r="I280" s="35"/>
      <c r="J280" s="35"/>
      <c r="K280" s="35"/>
      <c r="L280" s="35"/>
      <c r="M280" s="48"/>
      <c r="N280" s="48"/>
      <c r="O280" s="48"/>
      <c r="P280" s="48"/>
      <c r="Q280" s="48"/>
      <c r="R280" s="40"/>
      <c r="S280" s="40"/>
      <c r="T280" s="40"/>
      <c r="U280" s="40"/>
      <c r="V280" s="48">
        <v>2800</v>
      </c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9"/>
    </row>
    <row r="281" spans="1:35" x14ac:dyDescent="0.25">
      <c r="A281" s="48">
        <v>138</v>
      </c>
      <c r="B281" s="166" t="s">
        <v>913</v>
      </c>
      <c r="C281" s="166" t="s">
        <v>912</v>
      </c>
      <c r="D281" s="138">
        <f t="shared" si="12"/>
        <v>0</v>
      </c>
      <c r="E281" s="48"/>
      <c r="F281" s="48"/>
      <c r="G281" s="35"/>
      <c r="H281" s="35"/>
      <c r="I281" s="35"/>
      <c r="J281" s="35"/>
      <c r="K281" s="35"/>
      <c r="L281" s="35"/>
      <c r="M281" s="48"/>
      <c r="N281" s="48"/>
      <c r="O281" s="48"/>
      <c r="P281" s="48"/>
      <c r="Q281" s="48"/>
      <c r="R281" s="40"/>
      <c r="S281" s="40"/>
      <c r="T281" s="40"/>
      <c r="U281" s="40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9"/>
    </row>
    <row r="282" spans="1:35" x14ac:dyDescent="0.25">
      <c r="A282" s="48">
        <v>139</v>
      </c>
      <c r="B282" s="166" t="s">
        <v>802</v>
      </c>
      <c r="C282" s="166" t="s">
        <v>801</v>
      </c>
      <c r="D282" s="138">
        <f t="shared" si="12"/>
        <v>9000</v>
      </c>
      <c r="E282" s="48"/>
      <c r="F282" s="48"/>
      <c r="G282" s="35"/>
      <c r="H282" s="35"/>
      <c r="I282" s="35"/>
      <c r="J282" s="35"/>
      <c r="K282" s="35"/>
      <c r="L282" s="35">
        <v>3090</v>
      </c>
      <c r="M282" s="48">
        <f>40*15+5310</f>
        <v>5910</v>
      </c>
      <c r="N282" s="48"/>
      <c r="O282" s="48"/>
      <c r="P282" s="48"/>
      <c r="Q282" s="137"/>
      <c r="R282" s="40"/>
      <c r="S282" s="40"/>
      <c r="T282" s="40"/>
      <c r="U282" s="40"/>
      <c r="V282" s="48"/>
      <c r="W282" s="48"/>
      <c r="X282" s="48"/>
      <c r="Y282" s="48"/>
      <c r="Z282" s="48"/>
      <c r="AA282" s="48"/>
      <c r="AB282" s="48"/>
      <c r="AC282" s="48"/>
      <c r="AD282" s="137"/>
      <c r="AE282" s="48"/>
      <c r="AF282" s="48"/>
      <c r="AG282" s="48"/>
      <c r="AH282" s="48"/>
      <c r="AI282" s="49"/>
    </row>
    <row r="283" spans="1:35" x14ac:dyDescent="0.25">
      <c r="A283" s="48">
        <v>140</v>
      </c>
      <c r="B283" s="166" t="s">
        <v>545</v>
      </c>
      <c r="C283" s="166" t="s">
        <v>544</v>
      </c>
      <c r="D283" s="138">
        <f t="shared" si="12"/>
        <v>378</v>
      </c>
      <c r="E283" s="48"/>
      <c r="F283" s="48"/>
      <c r="G283" s="35">
        <v>378</v>
      </c>
      <c r="H283" s="35"/>
      <c r="I283" s="35"/>
      <c r="J283" s="35"/>
      <c r="K283" s="35"/>
      <c r="L283" s="35"/>
      <c r="M283" s="48"/>
      <c r="N283" s="48"/>
      <c r="O283" s="48"/>
      <c r="P283" s="48"/>
      <c r="Q283" s="48"/>
      <c r="R283" s="40"/>
      <c r="S283" s="40"/>
      <c r="T283" s="40"/>
      <c r="U283" s="40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9"/>
    </row>
    <row r="284" spans="1:35" x14ac:dyDescent="0.25">
      <c r="A284" s="48">
        <v>141</v>
      </c>
      <c r="B284" s="166" t="s">
        <v>574</v>
      </c>
      <c r="C284" s="166" t="s">
        <v>572</v>
      </c>
      <c r="D284" s="138">
        <f t="shared" si="12"/>
        <v>780</v>
      </c>
      <c r="E284" s="48"/>
      <c r="F284" s="48"/>
      <c r="G284" s="35"/>
      <c r="H284" s="35"/>
      <c r="I284" s="35"/>
      <c r="J284" s="35">
        <v>400</v>
      </c>
      <c r="K284" s="35">
        <v>380</v>
      </c>
      <c r="L284" s="35"/>
      <c r="M284" s="48"/>
      <c r="N284" s="48"/>
      <c r="O284" s="48"/>
      <c r="P284" s="48"/>
      <c r="Q284" s="48"/>
      <c r="R284" s="40"/>
      <c r="S284" s="40"/>
      <c r="T284" s="40"/>
      <c r="U284" s="40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9"/>
    </row>
    <row r="285" spans="1:35" x14ac:dyDescent="0.25">
      <c r="A285" s="48">
        <v>142</v>
      </c>
      <c r="B285" s="166" t="s">
        <v>575</v>
      </c>
      <c r="C285" s="166" t="s">
        <v>573</v>
      </c>
      <c r="D285" s="138">
        <f t="shared" si="12"/>
        <v>1780</v>
      </c>
      <c r="E285" s="48"/>
      <c r="F285" s="48"/>
      <c r="G285" s="35"/>
      <c r="H285" s="35"/>
      <c r="I285" s="35"/>
      <c r="J285" s="35"/>
      <c r="K285" s="35"/>
      <c r="L285" s="35">
        <v>1000</v>
      </c>
      <c r="M285" s="48"/>
      <c r="N285" s="48"/>
      <c r="O285" s="48"/>
      <c r="P285" s="48"/>
      <c r="Q285" s="48"/>
      <c r="R285" s="40"/>
      <c r="S285" s="40"/>
      <c r="T285" s="40"/>
      <c r="U285" s="40"/>
      <c r="V285" s="48"/>
      <c r="W285" s="48"/>
      <c r="X285" s="48"/>
      <c r="Y285" s="48"/>
      <c r="Z285" s="48"/>
      <c r="AA285" s="48">
        <f>230*2</f>
        <v>460</v>
      </c>
      <c r="AB285" s="48">
        <v>62</v>
      </c>
      <c r="AC285" s="48"/>
      <c r="AD285" s="48"/>
      <c r="AE285" s="48">
        <v>258</v>
      </c>
      <c r="AF285" s="48"/>
      <c r="AG285" s="48"/>
      <c r="AH285" s="48"/>
      <c r="AI285" s="49"/>
    </row>
    <row r="286" spans="1:35" x14ac:dyDescent="0.25">
      <c r="A286" s="48">
        <v>143</v>
      </c>
      <c r="B286" s="166" t="s">
        <v>1010</v>
      </c>
      <c r="C286" s="166" t="s">
        <v>1005</v>
      </c>
      <c r="D286" s="138">
        <f t="shared" si="12"/>
        <v>3000</v>
      </c>
      <c r="E286" s="48"/>
      <c r="F286" s="48"/>
      <c r="G286" s="35"/>
      <c r="H286" s="35"/>
      <c r="I286" s="35"/>
      <c r="J286" s="35"/>
      <c r="K286" s="35"/>
      <c r="L286" s="35"/>
      <c r="M286" s="48">
        <f>660+130*4</f>
        <v>1180</v>
      </c>
      <c r="N286" s="48">
        <f>455*4</f>
        <v>1820</v>
      </c>
      <c r="O286" s="48"/>
      <c r="P286" s="48"/>
      <c r="Q286" s="137"/>
      <c r="R286" s="40"/>
      <c r="S286" s="40"/>
      <c r="T286" s="40"/>
      <c r="U286" s="40"/>
      <c r="V286" s="48"/>
      <c r="W286" s="48"/>
      <c r="X286" s="48"/>
      <c r="Y286" s="48"/>
      <c r="Z286" s="48"/>
      <c r="AA286" s="48"/>
      <c r="AB286" s="48"/>
      <c r="AC286" s="48"/>
      <c r="AD286" s="137"/>
      <c r="AE286" s="48"/>
      <c r="AF286" s="48"/>
      <c r="AG286" s="48"/>
      <c r="AH286" s="48"/>
      <c r="AI286" s="49"/>
    </row>
    <row r="287" spans="1:35" x14ac:dyDescent="0.25">
      <c r="A287" s="48">
        <v>144</v>
      </c>
      <c r="B287" s="166" t="s">
        <v>1011</v>
      </c>
      <c r="C287" s="166" t="s">
        <v>1006</v>
      </c>
      <c r="D287" s="138">
        <f t="shared" si="12"/>
        <v>780</v>
      </c>
      <c r="E287" s="48"/>
      <c r="F287" s="48"/>
      <c r="G287" s="35"/>
      <c r="H287" s="35"/>
      <c r="I287" s="35"/>
      <c r="J287" s="35"/>
      <c r="K287" s="35"/>
      <c r="L287" s="35"/>
      <c r="M287" s="48"/>
      <c r="N287" s="48">
        <v>780</v>
      </c>
      <c r="O287" s="48"/>
      <c r="P287" s="48"/>
      <c r="Q287" s="48"/>
      <c r="R287" s="40"/>
      <c r="S287" s="40"/>
      <c r="T287" s="40"/>
      <c r="U287" s="40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9"/>
    </row>
    <row r="288" spans="1:35" x14ac:dyDescent="0.25">
      <c r="A288" s="48">
        <v>145</v>
      </c>
      <c r="B288" s="166" t="s">
        <v>1012</v>
      </c>
      <c r="C288" s="166" t="s">
        <v>1007</v>
      </c>
      <c r="D288" s="138">
        <f t="shared" si="12"/>
        <v>1000</v>
      </c>
      <c r="E288" s="48"/>
      <c r="F288" s="48"/>
      <c r="G288" s="35"/>
      <c r="H288" s="35"/>
      <c r="I288" s="35"/>
      <c r="J288" s="35"/>
      <c r="K288" s="35"/>
      <c r="L288" s="35"/>
      <c r="M288" s="48"/>
      <c r="N288" s="48">
        <f>250*4</f>
        <v>1000</v>
      </c>
      <c r="O288" s="48"/>
      <c r="P288" s="48"/>
      <c r="Q288" s="48"/>
      <c r="R288" s="40"/>
      <c r="S288" s="40"/>
      <c r="T288" s="40"/>
      <c r="U288" s="40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9"/>
    </row>
    <row r="289" spans="1:35" x14ac:dyDescent="0.25">
      <c r="A289" s="48">
        <v>146</v>
      </c>
      <c r="B289" s="166" t="s">
        <v>1013</v>
      </c>
      <c r="C289" s="166" t="s">
        <v>1008</v>
      </c>
      <c r="D289" s="138">
        <f t="shared" si="12"/>
        <v>1180</v>
      </c>
      <c r="E289" s="48"/>
      <c r="F289" s="48"/>
      <c r="G289" s="35"/>
      <c r="H289" s="35"/>
      <c r="I289" s="35"/>
      <c r="J289" s="35"/>
      <c r="K289" s="35"/>
      <c r="L289" s="35"/>
      <c r="M289" s="48"/>
      <c r="N289" s="48"/>
      <c r="O289" s="48"/>
      <c r="P289" s="48">
        <v>1176</v>
      </c>
      <c r="Q289" s="137"/>
      <c r="R289" s="40"/>
      <c r="S289" s="40"/>
      <c r="T289" s="40"/>
      <c r="U289" s="40"/>
      <c r="V289" s="48">
        <v>4</v>
      </c>
      <c r="W289" s="48"/>
      <c r="X289" s="48"/>
      <c r="Y289" s="48"/>
      <c r="Z289" s="48"/>
      <c r="AA289" s="48"/>
      <c r="AB289" s="48"/>
      <c r="AC289" s="48"/>
      <c r="AD289" s="137"/>
      <c r="AE289" s="48"/>
      <c r="AF289" s="48"/>
      <c r="AG289" s="48"/>
      <c r="AH289" s="48"/>
      <c r="AI289" s="49"/>
    </row>
    <row r="290" spans="1:35" x14ac:dyDescent="0.25">
      <c r="A290" s="48">
        <v>147</v>
      </c>
      <c r="B290" s="166" t="s">
        <v>1014</v>
      </c>
      <c r="C290" s="166" t="s">
        <v>1009</v>
      </c>
      <c r="D290" s="138">
        <f t="shared" si="12"/>
        <v>280</v>
      </c>
      <c r="E290" s="48"/>
      <c r="F290" s="48"/>
      <c r="G290" s="35"/>
      <c r="H290" s="35"/>
      <c r="I290" s="35"/>
      <c r="J290" s="35"/>
      <c r="K290" s="35"/>
      <c r="L290" s="35"/>
      <c r="M290" s="48"/>
      <c r="N290" s="48"/>
      <c r="O290" s="48"/>
      <c r="P290" s="48">
        <v>280</v>
      </c>
      <c r="Q290" s="48"/>
      <c r="R290" s="40"/>
      <c r="S290" s="40"/>
      <c r="T290" s="40"/>
      <c r="U290" s="40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9"/>
    </row>
    <row r="291" spans="1:35" x14ac:dyDescent="0.25">
      <c r="A291" s="48">
        <v>148</v>
      </c>
      <c r="B291" s="166" t="s">
        <v>1016</v>
      </c>
      <c r="C291" s="166" t="s">
        <v>1015</v>
      </c>
      <c r="D291" s="138">
        <f t="shared" si="12"/>
        <v>100</v>
      </c>
      <c r="E291" s="48"/>
      <c r="F291" s="48"/>
      <c r="G291" s="35"/>
      <c r="H291" s="35"/>
      <c r="I291" s="35"/>
      <c r="J291" s="35"/>
      <c r="K291" s="35"/>
      <c r="L291" s="35"/>
      <c r="M291" s="48"/>
      <c r="N291" s="48">
        <v>100</v>
      </c>
      <c r="O291" s="48"/>
      <c r="P291" s="48"/>
      <c r="Q291" s="48"/>
      <c r="R291" s="40"/>
      <c r="S291" s="40"/>
      <c r="T291" s="40"/>
      <c r="U291" s="40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9"/>
    </row>
    <row r="292" spans="1:35" x14ac:dyDescent="0.25">
      <c r="A292" s="48">
        <v>149</v>
      </c>
      <c r="B292" s="166" t="s">
        <v>577</v>
      </c>
      <c r="C292" s="166" t="s">
        <v>576</v>
      </c>
      <c r="D292" s="138">
        <f t="shared" si="12"/>
        <v>6800</v>
      </c>
      <c r="E292" s="48"/>
      <c r="F292" s="48"/>
      <c r="G292" s="35"/>
      <c r="H292" s="35"/>
      <c r="I292" s="35"/>
      <c r="J292" s="35">
        <v>3000</v>
      </c>
      <c r="K292" s="35"/>
      <c r="L292" s="35"/>
      <c r="M292" s="48"/>
      <c r="N292" s="48"/>
      <c r="O292" s="48"/>
      <c r="P292" s="48"/>
      <c r="Q292" s="137"/>
      <c r="R292" s="40"/>
      <c r="S292" s="40"/>
      <c r="T292" s="40"/>
      <c r="U292" s="40"/>
      <c r="V292" s="48"/>
      <c r="W292" s="48"/>
      <c r="X292" s="48"/>
      <c r="Y292" s="48"/>
      <c r="Z292" s="48"/>
      <c r="AA292" s="48"/>
      <c r="AB292" s="48"/>
      <c r="AC292" s="48"/>
      <c r="AD292" s="137"/>
      <c r="AE292" s="48"/>
      <c r="AF292" s="48">
        <f>950*4</f>
        <v>3800</v>
      </c>
      <c r="AG292" s="48"/>
      <c r="AH292" s="48"/>
      <c r="AI292" s="49"/>
    </row>
    <row r="293" spans="1:35" x14ac:dyDescent="0.25">
      <c r="A293" s="48">
        <v>150</v>
      </c>
      <c r="B293" s="166" t="s">
        <v>1018</v>
      </c>
      <c r="C293" s="166" t="s">
        <v>1017</v>
      </c>
      <c r="D293" s="138">
        <f t="shared" si="12"/>
        <v>100</v>
      </c>
      <c r="E293" s="48"/>
      <c r="F293" s="48"/>
      <c r="G293" s="35"/>
      <c r="H293" s="35"/>
      <c r="I293" s="35"/>
      <c r="J293" s="35"/>
      <c r="K293" s="35"/>
      <c r="L293" s="35"/>
      <c r="M293" s="48"/>
      <c r="N293" s="48">
        <v>100</v>
      </c>
      <c r="O293" s="48"/>
      <c r="P293" s="48"/>
      <c r="Q293" s="48"/>
      <c r="R293" s="40"/>
      <c r="S293" s="40"/>
      <c r="T293" s="40"/>
      <c r="U293" s="40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9"/>
    </row>
    <row r="294" spans="1:35" x14ac:dyDescent="0.25">
      <c r="A294" s="48">
        <v>151</v>
      </c>
      <c r="B294" s="166" t="s">
        <v>563</v>
      </c>
      <c r="C294" s="166" t="s">
        <v>558</v>
      </c>
      <c r="D294" s="138">
        <f t="shared" si="12"/>
        <v>120</v>
      </c>
      <c r="E294" s="48"/>
      <c r="F294" s="48"/>
      <c r="G294" s="35"/>
      <c r="H294" s="35"/>
      <c r="I294" s="35"/>
      <c r="J294" s="35"/>
      <c r="K294" s="35"/>
      <c r="L294" s="35"/>
      <c r="M294" s="48"/>
      <c r="N294" s="48"/>
      <c r="O294" s="48"/>
      <c r="P294" s="48"/>
      <c r="Q294" s="48"/>
      <c r="R294" s="40"/>
      <c r="S294" s="40"/>
      <c r="T294" s="40"/>
      <c r="U294" s="40"/>
      <c r="V294" s="48"/>
      <c r="W294" s="48"/>
      <c r="X294" s="48"/>
      <c r="Y294" s="48"/>
      <c r="Z294" s="48"/>
      <c r="AA294" s="48">
        <v>120</v>
      </c>
      <c r="AB294" s="48"/>
      <c r="AC294" s="48"/>
      <c r="AD294" s="48"/>
      <c r="AE294" s="48"/>
      <c r="AF294" s="48"/>
      <c r="AG294" s="48"/>
      <c r="AH294" s="48"/>
      <c r="AI294" s="49"/>
    </row>
    <row r="295" spans="1:35" x14ac:dyDescent="0.25">
      <c r="A295" s="48">
        <v>152</v>
      </c>
      <c r="B295" s="166" t="s">
        <v>564</v>
      </c>
      <c r="C295" s="166" t="s">
        <v>559</v>
      </c>
      <c r="D295" s="138">
        <f t="shared" si="12"/>
        <v>700</v>
      </c>
      <c r="E295" s="48"/>
      <c r="F295" s="48"/>
      <c r="G295" s="35">
        <v>696</v>
      </c>
      <c r="H295" s="35">
        <v>4</v>
      </c>
      <c r="I295" s="35"/>
      <c r="J295" s="35"/>
      <c r="K295" s="35"/>
      <c r="L295" s="35"/>
      <c r="M295" s="48"/>
      <c r="N295" s="48"/>
      <c r="O295" s="48"/>
      <c r="P295" s="48"/>
      <c r="Q295" s="137"/>
      <c r="R295" s="40"/>
      <c r="S295" s="40"/>
      <c r="T295" s="40"/>
      <c r="U295" s="40"/>
      <c r="V295" s="48"/>
      <c r="W295" s="48"/>
      <c r="X295" s="48"/>
      <c r="Y295" s="48"/>
      <c r="Z295" s="48"/>
      <c r="AA295" s="48"/>
      <c r="AB295" s="48"/>
      <c r="AC295" s="48"/>
      <c r="AD295" s="137"/>
      <c r="AE295" s="48"/>
      <c r="AF295" s="48"/>
      <c r="AG295" s="48"/>
      <c r="AH295" s="48"/>
      <c r="AI295" s="49"/>
    </row>
    <row r="296" spans="1:35" x14ac:dyDescent="0.25">
      <c r="A296" s="48">
        <v>153</v>
      </c>
      <c r="B296" s="166" t="s">
        <v>565</v>
      </c>
      <c r="C296" s="166" t="s">
        <v>560</v>
      </c>
      <c r="D296" s="138">
        <f t="shared" si="12"/>
        <v>100</v>
      </c>
      <c r="E296" s="48"/>
      <c r="F296" s="48"/>
      <c r="G296" s="35">
        <v>100</v>
      </c>
      <c r="H296" s="35"/>
      <c r="I296" s="35"/>
      <c r="J296" s="35"/>
      <c r="K296" s="35"/>
      <c r="L296" s="35"/>
      <c r="M296" s="48"/>
      <c r="N296" s="48"/>
      <c r="O296" s="48"/>
      <c r="P296" s="48"/>
      <c r="Q296" s="48"/>
      <c r="R296" s="40"/>
      <c r="S296" s="40"/>
      <c r="T296" s="40"/>
      <c r="U296" s="40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9"/>
    </row>
    <row r="297" spans="1:35" x14ac:dyDescent="0.25">
      <c r="A297" s="48">
        <v>154</v>
      </c>
      <c r="B297" s="176" t="s">
        <v>1220</v>
      </c>
      <c r="C297" s="176" t="s">
        <v>1219</v>
      </c>
      <c r="D297" s="138">
        <f t="shared" si="12"/>
        <v>10000</v>
      </c>
      <c r="E297" s="48"/>
      <c r="F297" s="48"/>
      <c r="G297" s="35"/>
      <c r="H297" s="35"/>
      <c r="I297" s="35"/>
      <c r="J297" s="35"/>
      <c r="K297" s="35"/>
      <c r="L297" s="35"/>
      <c r="M297" s="48"/>
      <c r="N297" s="48"/>
      <c r="O297" s="48"/>
      <c r="P297" s="48"/>
      <c r="Q297" s="48"/>
      <c r="R297" s="40"/>
      <c r="S297" s="40"/>
      <c r="T297" s="40"/>
      <c r="U297" s="40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>
        <v>8000</v>
      </c>
      <c r="AG297" s="48">
        <f>5*30</f>
        <v>150</v>
      </c>
      <c r="AH297" s="48">
        <v>1530</v>
      </c>
      <c r="AI297" s="49">
        <v>320</v>
      </c>
    </row>
    <row r="298" spans="1:35" x14ac:dyDescent="0.25">
      <c r="A298" s="48">
        <v>155</v>
      </c>
      <c r="B298" s="166" t="s">
        <v>566</v>
      </c>
      <c r="C298" s="166" t="s">
        <v>561</v>
      </c>
      <c r="D298" s="138">
        <f t="shared" si="12"/>
        <v>2120</v>
      </c>
      <c r="E298" s="48"/>
      <c r="F298" s="48"/>
      <c r="G298" s="35"/>
      <c r="H298" s="35"/>
      <c r="I298" s="35"/>
      <c r="J298" s="35">
        <v>320</v>
      </c>
      <c r="K298" s="35"/>
      <c r="L298" s="35"/>
      <c r="M298" s="48"/>
      <c r="N298" s="48"/>
      <c r="O298" s="48"/>
      <c r="P298" s="48"/>
      <c r="Q298" s="137"/>
      <c r="R298" s="40"/>
      <c r="S298" s="40"/>
      <c r="T298" s="40"/>
      <c r="U298" s="40"/>
      <c r="V298" s="48"/>
      <c r="W298" s="48"/>
      <c r="X298" s="48"/>
      <c r="Y298" s="48"/>
      <c r="Z298" s="48"/>
      <c r="AA298" s="48"/>
      <c r="AB298" s="48">
        <v>1800</v>
      </c>
      <c r="AC298" s="48"/>
      <c r="AD298" s="137"/>
      <c r="AE298" s="48"/>
      <c r="AF298" s="48"/>
      <c r="AG298" s="48"/>
      <c r="AH298" s="48"/>
      <c r="AI298" s="49"/>
    </row>
    <row r="299" spans="1:35" x14ac:dyDescent="0.25">
      <c r="A299" s="48">
        <v>156</v>
      </c>
      <c r="B299" s="166" t="s">
        <v>567</v>
      </c>
      <c r="C299" s="166" t="s">
        <v>562</v>
      </c>
      <c r="D299" s="138">
        <f t="shared" ref="D299:D302" si="13">SUM(E299:AI299)</f>
        <v>0</v>
      </c>
      <c r="E299" s="48"/>
      <c r="F299" s="48"/>
      <c r="G299" s="35"/>
      <c r="H299" s="35"/>
      <c r="I299" s="35"/>
      <c r="J299" s="35"/>
      <c r="K299" s="35"/>
      <c r="L299" s="35"/>
      <c r="M299" s="48"/>
      <c r="N299" s="48"/>
      <c r="O299" s="48"/>
      <c r="P299" s="48"/>
      <c r="Q299" s="48"/>
      <c r="R299" s="40"/>
      <c r="S299" s="40"/>
      <c r="T299" s="40"/>
      <c r="U299" s="40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9"/>
    </row>
    <row r="300" spans="1:35" x14ac:dyDescent="0.25">
      <c r="A300" s="48">
        <v>157</v>
      </c>
      <c r="B300" s="166" t="s">
        <v>410</v>
      </c>
      <c r="C300" s="166" t="s">
        <v>409</v>
      </c>
      <c r="D300" s="138">
        <f t="shared" si="13"/>
        <v>0</v>
      </c>
      <c r="E300" s="48"/>
      <c r="F300" s="48"/>
      <c r="G300" s="35"/>
      <c r="H300" s="35"/>
      <c r="I300" s="35"/>
      <c r="J300" s="35"/>
      <c r="K300" s="35"/>
      <c r="L300" s="35"/>
      <c r="M300" s="48"/>
      <c r="N300" s="48"/>
      <c r="O300" s="48"/>
      <c r="P300" s="48"/>
      <c r="Q300" s="48"/>
      <c r="R300" s="40"/>
      <c r="S300" s="40"/>
      <c r="T300" s="40"/>
      <c r="U300" s="40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9"/>
    </row>
    <row r="301" spans="1:35" x14ac:dyDescent="0.25">
      <c r="A301" s="48">
        <v>158</v>
      </c>
      <c r="B301" s="166" t="s">
        <v>412</v>
      </c>
      <c r="C301" s="166" t="s">
        <v>411</v>
      </c>
      <c r="D301" s="138">
        <f t="shared" si="13"/>
        <v>15610</v>
      </c>
      <c r="E301" s="48"/>
      <c r="F301" s="48"/>
      <c r="G301" s="35"/>
      <c r="H301" s="35">
        <f>2630*2+1738</f>
        <v>6998</v>
      </c>
      <c r="I301" s="35"/>
      <c r="J301" s="35">
        <f>1061*2</f>
        <v>2122</v>
      </c>
      <c r="K301" s="35">
        <f>1100*2+804*2</f>
        <v>3808</v>
      </c>
      <c r="L301" s="35">
        <v>654</v>
      </c>
      <c r="M301" s="48"/>
      <c r="N301" s="48">
        <v>328</v>
      </c>
      <c r="O301" s="48"/>
      <c r="P301" s="48"/>
      <c r="Q301" s="48"/>
      <c r="R301" s="40"/>
      <c r="S301" s="40"/>
      <c r="T301" s="40"/>
      <c r="U301" s="40"/>
      <c r="V301" s="48"/>
      <c r="W301" s="48"/>
      <c r="X301" s="48"/>
      <c r="Y301" s="48"/>
      <c r="Z301" s="48"/>
      <c r="AA301" s="48">
        <f>700+992</f>
        <v>1692</v>
      </c>
      <c r="AB301" s="48">
        <v>8</v>
      </c>
      <c r="AC301" s="48"/>
      <c r="AD301" s="48"/>
      <c r="AE301" s="48"/>
      <c r="AF301" s="48"/>
      <c r="AG301" s="48"/>
      <c r="AH301" s="48"/>
      <c r="AI301" s="49"/>
    </row>
    <row r="302" spans="1:35" x14ac:dyDescent="0.25">
      <c r="A302" s="48">
        <v>159</v>
      </c>
      <c r="B302" s="166" t="s">
        <v>768</v>
      </c>
      <c r="C302" s="166" t="s">
        <v>767</v>
      </c>
      <c r="D302" s="138">
        <f t="shared" si="13"/>
        <v>500</v>
      </c>
      <c r="E302" s="48"/>
      <c r="F302" s="48"/>
      <c r="G302" s="35"/>
      <c r="H302" s="35"/>
      <c r="I302" s="35"/>
      <c r="J302" s="35"/>
      <c r="K302" s="35"/>
      <c r="L302" s="35"/>
      <c r="M302" s="48"/>
      <c r="N302" s="48"/>
      <c r="O302" s="48"/>
      <c r="P302" s="48"/>
      <c r="Q302" s="48"/>
      <c r="R302" s="40"/>
      <c r="S302" s="40"/>
      <c r="T302" s="40"/>
      <c r="U302" s="40"/>
      <c r="V302" s="48"/>
      <c r="W302" s="48"/>
      <c r="X302" s="48"/>
      <c r="Y302" s="48">
        <v>500</v>
      </c>
      <c r="Z302" s="48"/>
      <c r="AA302" s="48"/>
      <c r="AB302" s="48"/>
      <c r="AC302" s="48"/>
      <c r="AD302" s="48"/>
      <c r="AE302" s="48"/>
      <c r="AF302" s="48"/>
      <c r="AG302" s="48"/>
      <c r="AH302" s="48"/>
      <c r="AI302" s="49"/>
    </row>
    <row r="303" spans="1:35" x14ac:dyDescent="0.25">
      <c r="A303" s="141" t="s">
        <v>140</v>
      </c>
      <c r="B303" s="33" t="s">
        <v>124</v>
      </c>
      <c r="C303" s="166" t="s">
        <v>141</v>
      </c>
      <c r="D303" s="139">
        <f t="shared" ref="D303:AI303" si="14">SUM(D304:D335)</f>
        <v>369449</v>
      </c>
      <c r="E303" s="145">
        <f t="shared" si="14"/>
        <v>14790</v>
      </c>
      <c r="F303" s="145">
        <f t="shared" si="14"/>
        <v>0</v>
      </c>
      <c r="G303" s="145">
        <f t="shared" si="14"/>
        <v>0</v>
      </c>
      <c r="H303" s="145">
        <f t="shared" si="14"/>
        <v>9574</v>
      </c>
      <c r="I303" s="145">
        <f t="shared" si="14"/>
        <v>38848</v>
      </c>
      <c r="J303" s="143">
        <f t="shared" si="14"/>
        <v>36228</v>
      </c>
      <c r="K303" s="143">
        <f t="shared" si="14"/>
        <v>8558</v>
      </c>
      <c r="L303" s="143">
        <f t="shared" si="14"/>
        <v>2000</v>
      </c>
      <c r="M303" s="145">
        <f t="shared" si="14"/>
        <v>82494</v>
      </c>
      <c r="N303" s="145">
        <f t="shared" si="14"/>
        <v>15094</v>
      </c>
      <c r="O303" s="145">
        <f t="shared" si="14"/>
        <v>410</v>
      </c>
      <c r="P303" s="145">
        <f t="shared" si="14"/>
        <v>1210</v>
      </c>
      <c r="Q303" s="145">
        <f t="shared" si="14"/>
        <v>55842</v>
      </c>
      <c r="R303" s="145">
        <f t="shared" si="14"/>
        <v>0</v>
      </c>
      <c r="S303" s="145">
        <f t="shared" si="14"/>
        <v>0</v>
      </c>
      <c r="T303" s="145">
        <f t="shared" si="14"/>
        <v>0</v>
      </c>
      <c r="U303" s="145">
        <f t="shared" si="14"/>
        <v>2620</v>
      </c>
      <c r="V303" s="145">
        <f t="shared" si="14"/>
        <v>896</v>
      </c>
      <c r="W303" s="145">
        <f t="shared" si="14"/>
        <v>51996</v>
      </c>
      <c r="X303" s="145">
        <f t="shared" si="14"/>
        <v>11238</v>
      </c>
      <c r="Y303" s="145">
        <f t="shared" si="14"/>
        <v>2412</v>
      </c>
      <c r="Z303" s="145">
        <f t="shared" si="14"/>
        <v>4680</v>
      </c>
      <c r="AA303" s="145">
        <f t="shared" si="14"/>
        <v>2600</v>
      </c>
      <c r="AB303" s="145">
        <f t="shared" si="14"/>
        <v>3460</v>
      </c>
      <c r="AC303" s="145">
        <f t="shared" si="14"/>
        <v>0</v>
      </c>
      <c r="AD303" s="145">
        <f t="shared" si="14"/>
        <v>4460</v>
      </c>
      <c r="AE303" s="145">
        <f t="shared" si="14"/>
        <v>7553</v>
      </c>
      <c r="AF303" s="145">
        <f t="shared" si="14"/>
        <v>1500</v>
      </c>
      <c r="AG303" s="145">
        <f t="shared" si="14"/>
        <v>6660</v>
      </c>
      <c r="AH303" s="145">
        <f t="shared" si="14"/>
        <v>3510</v>
      </c>
      <c r="AI303" s="145">
        <f t="shared" si="14"/>
        <v>816</v>
      </c>
    </row>
    <row r="304" spans="1:35" x14ac:dyDescent="0.25">
      <c r="A304" s="48">
        <v>1</v>
      </c>
      <c r="B304" s="166" t="s">
        <v>839</v>
      </c>
      <c r="C304" s="166" t="s">
        <v>838</v>
      </c>
      <c r="D304" s="138">
        <f t="shared" ref="D304:D335" si="15">SUM(E304:AI304)</f>
        <v>900</v>
      </c>
      <c r="E304" s="48"/>
      <c r="F304" s="48"/>
      <c r="G304" s="35"/>
      <c r="H304" s="35"/>
      <c r="I304" s="35"/>
      <c r="J304" s="35"/>
      <c r="K304" s="35"/>
      <c r="L304" s="35"/>
      <c r="M304" s="48"/>
      <c r="N304" s="48"/>
      <c r="O304" s="48"/>
      <c r="P304" s="48"/>
      <c r="Q304" s="137"/>
      <c r="R304" s="137"/>
      <c r="S304" s="137"/>
      <c r="T304" s="137"/>
      <c r="U304" s="137"/>
      <c r="V304" s="137">
        <v>896</v>
      </c>
      <c r="W304" s="137">
        <v>4</v>
      </c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48"/>
      <c r="AI304" s="137"/>
    </row>
    <row r="305" spans="1:35" x14ac:dyDescent="0.25">
      <c r="A305" s="48">
        <v>2</v>
      </c>
      <c r="B305" s="166" t="s">
        <v>972</v>
      </c>
      <c r="C305" s="166" t="s">
        <v>971</v>
      </c>
      <c r="D305" s="138">
        <f t="shared" si="15"/>
        <v>49896</v>
      </c>
      <c r="E305" s="48"/>
      <c r="F305" s="48"/>
      <c r="G305" s="35"/>
      <c r="H305" s="35">
        <v>414</v>
      </c>
      <c r="I305" s="35">
        <f>3920+1200*2</f>
        <v>6320</v>
      </c>
      <c r="J305" s="35">
        <f>90*2</f>
        <v>180</v>
      </c>
      <c r="K305" s="35">
        <f>3500+1766</f>
        <v>5266</v>
      </c>
      <c r="L305" s="35"/>
      <c r="M305" s="48"/>
      <c r="N305" s="48">
        <f>550*2+1498*2</f>
        <v>4096</v>
      </c>
      <c r="O305" s="48">
        <f>205*2</f>
        <v>410</v>
      </c>
      <c r="P305" s="48">
        <v>1210</v>
      </c>
      <c r="Q305" s="137"/>
      <c r="R305" s="137"/>
      <c r="S305" s="137"/>
      <c r="T305" s="137"/>
      <c r="U305" s="137">
        <f>1260*2+50*2</f>
        <v>2620</v>
      </c>
      <c r="V305" s="137"/>
      <c r="W305" s="137">
        <v>2260</v>
      </c>
      <c r="X305" s="137">
        <f>825*2+1250*2</f>
        <v>4150</v>
      </c>
      <c r="Y305" s="137"/>
      <c r="Z305" s="137">
        <f>1240+1720*2</f>
        <v>4680</v>
      </c>
      <c r="AA305" s="137">
        <f>550*2</f>
        <v>1100</v>
      </c>
      <c r="AB305" s="137">
        <f>1730*2</f>
        <v>3460</v>
      </c>
      <c r="AC305" s="137"/>
      <c r="AD305" s="137">
        <f>1730*2</f>
        <v>3460</v>
      </c>
      <c r="AE305" s="137"/>
      <c r="AF305" s="137">
        <f>50*2</f>
        <v>100</v>
      </c>
      <c r="AG305" s="137">
        <f>1665*2+1665*2</f>
        <v>6660</v>
      </c>
      <c r="AH305" s="48">
        <f>1755*2</f>
        <v>3510</v>
      </c>
      <c r="AI305" s="137"/>
    </row>
    <row r="306" spans="1:35" s="37" customFormat="1" x14ac:dyDescent="0.25">
      <c r="A306" s="48">
        <v>3</v>
      </c>
      <c r="B306" s="175" t="s">
        <v>847</v>
      </c>
      <c r="C306" s="166" t="s">
        <v>846</v>
      </c>
      <c r="D306" s="138">
        <f t="shared" si="15"/>
        <v>153</v>
      </c>
      <c r="E306" s="48"/>
      <c r="F306" s="48"/>
      <c r="G306" s="35"/>
      <c r="H306" s="35"/>
      <c r="I306" s="35"/>
      <c r="J306" s="35"/>
      <c r="K306" s="35"/>
      <c r="L306" s="35"/>
      <c r="M306" s="48"/>
      <c r="N306" s="48"/>
      <c r="O306" s="48"/>
      <c r="P306" s="48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>
        <v>153</v>
      </c>
      <c r="AF306" s="132"/>
      <c r="AG306" s="132"/>
      <c r="AH306" s="48"/>
      <c r="AI306" s="132"/>
    </row>
    <row r="307" spans="1:35" x14ac:dyDescent="0.25">
      <c r="A307" s="48">
        <v>4</v>
      </c>
      <c r="B307" s="166" t="s">
        <v>232</v>
      </c>
      <c r="C307" s="166" t="s">
        <v>231</v>
      </c>
      <c r="D307" s="138">
        <f t="shared" si="15"/>
        <v>2920</v>
      </c>
      <c r="E307" s="48"/>
      <c r="F307" s="48"/>
      <c r="G307" s="35"/>
      <c r="H307" s="35">
        <v>2912</v>
      </c>
      <c r="I307" s="35"/>
      <c r="J307" s="35"/>
      <c r="K307" s="35"/>
      <c r="L307" s="35"/>
      <c r="M307" s="48"/>
      <c r="N307" s="48"/>
      <c r="O307" s="48"/>
      <c r="P307" s="48"/>
      <c r="Q307" s="48"/>
      <c r="R307" s="40"/>
      <c r="S307" s="40"/>
      <c r="T307" s="40"/>
      <c r="U307" s="40"/>
      <c r="V307" s="48"/>
      <c r="W307" s="48">
        <v>8</v>
      </c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</row>
    <row r="308" spans="1:35" x14ac:dyDescent="0.25">
      <c r="A308" s="48">
        <v>5</v>
      </c>
      <c r="B308" s="175" t="s">
        <v>867</v>
      </c>
      <c r="C308" s="166" t="s">
        <v>866</v>
      </c>
      <c r="D308" s="138">
        <f t="shared" si="15"/>
        <v>14800</v>
      </c>
      <c r="E308" s="48">
        <f>10000+4790</f>
        <v>14790</v>
      </c>
      <c r="F308" s="48"/>
      <c r="G308" s="35"/>
      <c r="H308" s="35"/>
      <c r="I308" s="35"/>
      <c r="J308" s="35"/>
      <c r="K308" s="35"/>
      <c r="L308" s="35"/>
      <c r="M308" s="48"/>
      <c r="N308" s="48"/>
      <c r="O308" s="48"/>
      <c r="P308" s="48"/>
      <c r="Q308" s="48"/>
      <c r="R308" s="40"/>
      <c r="S308" s="40"/>
      <c r="T308" s="40"/>
      <c r="U308" s="40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>
        <v>10</v>
      </c>
    </row>
    <row r="309" spans="1:35" x14ac:dyDescent="0.25">
      <c r="A309" s="48">
        <v>6</v>
      </c>
      <c r="B309" s="176" t="s">
        <v>996</v>
      </c>
      <c r="C309" s="176" t="s">
        <v>995</v>
      </c>
      <c r="D309" s="138">
        <f t="shared" si="15"/>
        <v>56</v>
      </c>
      <c r="E309" s="48"/>
      <c r="F309" s="48"/>
      <c r="G309" s="35"/>
      <c r="H309" s="35"/>
      <c r="I309" s="35"/>
      <c r="J309" s="35"/>
      <c r="K309" s="35">
        <v>56</v>
      </c>
      <c r="L309" s="35"/>
      <c r="M309" s="48"/>
      <c r="N309" s="48"/>
      <c r="O309" s="48"/>
      <c r="P309" s="48"/>
      <c r="Q309" s="48"/>
      <c r="R309" s="40"/>
      <c r="S309" s="40"/>
      <c r="T309" s="40"/>
      <c r="U309" s="40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</row>
    <row r="310" spans="1:35" x14ac:dyDescent="0.25">
      <c r="A310" s="48">
        <v>7</v>
      </c>
      <c r="B310" s="176" t="s">
        <v>998</v>
      </c>
      <c r="C310" s="176" t="s">
        <v>997</v>
      </c>
      <c r="D310" s="138">
        <f t="shared" si="15"/>
        <v>3900</v>
      </c>
      <c r="E310" s="48"/>
      <c r="F310" s="48"/>
      <c r="G310" s="35"/>
      <c r="H310" s="35"/>
      <c r="I310" s="35"/>
      <c r="J310" s="35"/>
      <c r="K310" s="35">
        <v>1300</v>
      </c>
      <c r="L310" s="35"/>
      <c r="M310" s="48">
        <v>2600</v>
      </c>
      <c r="N310" s="48"/>
      <c r="O310" s="48"/>
      <c r="P310" s="48"/>
      <c r="Q310" s="48"/>
      <c r="R310" s="40"/>
      <c r="S310" s="40"/>
      <c r="T310" s="40"/>
      <c r="U310" s="40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</row>
    <row r="311" spans="1:35" x14ac:dyDescent="0.25">
      <c r="A311" s="48">
        <v>8</v>
      </c>
      <c r="B311" s="166" t="s">
        <v>414</v>
      </c>
      <c r="C311" s="166" t="s">
        <v>413</v>
      </c>
      <c r="D311" s="138">
        <f t="shared" si="15"/>
        <v>2000</v>
      </c>
      <c r="E311" s="48"/>
      <c r="F311" s="48"/>
      <c r="G311" s="35"/>
      <c r="H311" s="35"/>
      <c r="I311" s="35"/>
      <c r="J311" s="35"/>
      <c r="K311" s="35"/>
      <c r="L311" s="35">
        <v>2000</v>
      </c>
      <c r="M311" s="48"/>
      <c r="N311" s="48"/>
      <c r="O311" s="48"/>
      <c r="P311" s="48"/>
      <c r="Q311" s="48"/>
      <c r="R311" s="40"/>
      <c r="S311" s="40"/>
      <c r="T311" s="40"/>
      <c r="U311" s="40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</row>
    <row r="312" spans="1:35" x14ac:dyDescent="0.25">
      <c r="A312" s="48">
        <v>9</v>
      </c>
      <c r="B312" s="176" t="s">
        <v>1062</v>
      </c>
      <c r="C312" s="176" t="s">
        <v>1061</v>
      </c>
      <c r="D312" s="138">
        <f t="shared" si="15"/>
        <v>4000</v>
      </c>
      <c r="E312" s="48"/>
      <c r="F312" s="48"/>
      <c r="G312" s="35"/>
      <c r="H312" s="35"/>
      <c r="I312" s="35"/>
      <c r="J312" s="35"/>
      <c r="K312" s="35"/>
      <c r="L312" s="35"/>
      <c r="M312" s="48"/>
      <c r="N312" s="48"/>
      <c r="O312" s="48"/>
      <c r="P312" s="48"/>
      <c r="Q312" s="48">
        <v>4000</v>
      </c>
      <c r="R312" s="40"/>
      <c r="S312" s="40"/>
      <c r="T312" s="40"/>
      <c r="U312" s="40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</row>
    <row r="313" spans="1:35" x14ac:dyDescent="0.25">
      <c r="A313" s="48">
        <v>10</v>
      </c>
      <c r="B313" s="166" t="s">
        <v>447</v>
      </c>
      <c r="C313" s="166" t="s">
        <v>446</v>
      </c>
      <c r="D313" s="138">
        <f t="shared" si="15"/>
        <v>10864</v>
      </c>
      <c r="E313" s="48"/>
      <c r="F313" s="48"/>
      <c r="G313" s="35"/>
      <c r="H313" s="35"/>
      <c r="I313" s="35"/>
      <c r="J313" s="35"/>
      <c r="K313" s="35"/>
      <c r="L313" s="35"/>
      <c r="M313" s="48">
        <f>9408+1456</f>
        <v>10864</v>
      </c>
      <c r="N313" s="48"/>
      <c r="O313" s="48"/>
      <c r="P313" s="48"/>
      <c r="Q313" s="48"/>
      <c r="R313" s="40"/>
      <c r="S313" s="40"/>
      <c r="T313" s="40"/>
      <c r="U313" s="40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</row>
    <row r="314" spans="1:35" x14ac:dyDescent="0.25">
      <c r="A314" s="48">
        <v>11</v>
      </c>
      <c r="B314" s="175" t="s">
        <v>871</v>
      </c>
      <c r="C314" s="166" t="s">
        <v>870</v>
      </c>
      <c r="D314" s="138">
        <f t="shared" si="15"/>
        <v>0</v>
      </c>
      <c r="E314" s="48"/>
      <c r="F314" s="48"/>
      <c r="G314" s="35"/>
      <c r="H314" s="35"/>
      <c r="I314" s="35"/>
      <c r="J314" s="35"/>
      <c r="K314" s="35"/>
      <c r="L314" s="35"/>
      <c r="M314" s="48"/>
      <c r="N314" s="48"/>
      <c r="O314" s="48"/>
      <c r="P314" s="48"/>
      <c r="Q314" s="48"/>
      <c r="R314" s="40"/>
      <c r="S314" s="40"/>
      <c r="T314" s="40"/>
      <c r="U314" s="40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</row>
    <row r="315" spans="1:35" x14ac:dyDescent="0.25">
      <c r="A315" s="48">
        <v>12</v>
      </c>
      <c r="B315" s="176" t="s">
        <v>1056</v>
      </c>
      <c r="C315" s="176" t="s">
        <v>1055</v>
      </c>
      <c r="D315" s="138">
        <f t="shared" si="15"/>
        <v>2000</v>
      </c>
      <c r="E315" s="48"/>
      <c r="F315" s="48"/>
      <c r="G315" s="35"/>
      <c r="H315" s="35"/>
      <c r="I315" s="35"/>
      <c r="J315" s="35"/>
      <c r="K315" s="35"/>
      <c r="L315" s="35"/>
      <c r="M315" s="48"/>
      <c r="N315" s="48"/>
      <c r="O315" s="48"/>
      <c r="P315" s="48"/>
      <c r="Q315" s="48">
        <f>42*48-16</f>
        <v>2000</v>
      </c>
      <c r="R315" s="40"/>
      <c r="S315" s="40"/>
      <c r="T315" s="40"/>
      <c r="U315" s="40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</row>
    <row r="316" spans="1:35" x14ac:dyDescent="0.25">
      <c r="A316" s="48">
        <v>13</v>
      </c>
      <c r="B316" s="166" t="s">
        <v>262</v>
      </c>
      <c r="C316" s="166" t="s">
        <v>261</v>
      </c>
      <c r="D316" s="138">
        <f t="shared" si="15"/>
        <v>246000</v>
      </c>
      <c r="E316" s="48"/>
      <c r="F316" s="48"/>
      <c r="G316" s="35"/>
      <c r="H316" s="35"/>
      <c r="I316" s="35">
        <v>29952</v>
      </c>
      <c r="J316" s="35">
        <f>36036+12</f>
        <v>36048</v>
      </c>
      <c r="K316" s="35"/>
      <c r="L316" s="35"/>
      <c r="M316" s="48">
        <f>256*117+334*117</f>
        <v>69030</v>
      </c>
      <c r="N316" s="48">
        <f>94*117</f>
        <v>10998</v>
      </c>
      <c r="O316" s="48"/>
      <c r="P316" s="48"/>
      <c r="Q316" s="48">
        <f>426*117</f>
        <v>49842</v>
      </c>
      <c r="R316" s="40"/>
      <c r="S316" s="40"/>
      <c r="T316" s="40"/>
      <c r="U316" s="40"/>
      <c r="V316" s="48"/>
      <c r="W316" s="48">
        <f>275*117+152*117-235</f>
        <v>49724</v>
      </c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>
        <v>406</v>
      </c>
    </row>
    <row r="317" spans="1:35" x14ac:dyDescent="0.25">
      <c r="A317" s="48">
        <v>14</v>
      </c>
      <c r="B317" s="166" t="s">
        <v>338</v>
      </c>
      <c r="C317" s="166" t="s">
        <v>337</v>
      </c>
      <c r="D317" s="138">
        <f t="shared" si="15"/>
        <v>7000</v>
      </c>
      <c r="E317" s="48"/>
      <c r="F317" s="48"/>
      <c r="G317" s="35"/>
      <c r="H317" s="35">
        <f>79*56</f>
        <v>4424</v>
      </c>
      <c r="I317" s="35">
        <v>2576</v>
      </c>
      <c r="J317" s="35"/>
      <c r="K317" s="35"/>
      <c r="L317" s="35"/>
      <c r="M317" s="48"/>
      <c r="N317" s="48"/>
      <c r="O317" s="48"/>
      <c r="P317" s="48"/>
      <c r="Q317" s="48"/>
      <c r="R317" s="40"/>
      <c r="S317" s="40"/>
      <c r="T317" s="40"/>
      <c r="U317" s="40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</row>
    <row r="318" spans="1:35" x14ac:dyDescent="0.25">
      <c r="A318" s="48">
        <v>15</v>
      </c>
      <c r="B318" s="176" t="s">
        <v>1152</v>
      </c>
      <c r="C318" s="176" t="s">
        <v>1151</v>
      </c>
      <c r="D318" s="138">
        <f t="shared" si="15"/>
        <v>500</v>
      </c>
      <c r="E318" s="48"/>
      <c r="F318" s="48"/>
      <c r="G318" s="35"/>
      <c r="H318" s="35"/>
      <c r="I318" s="35"/>
      <c r="J318" s="35"/>
      <c r="K318" s="35"/>
      <c r="L318" s="35"/>
      <c r="M318" s="48"/>
      <c r="N318" s="48"/>
      <c r="O318" s="48"/>
      <c r="P318" s="48"/>
      <c r="Q318" s="48"/>
      <c r="R318" s="40"/>
      <c r="S318" s="40"/>
      <c r="T318" s="40"/>
      <c r="U318" s="40"/>
      <c r="V318" s="48"/>
      <c r="W318" s="48"/>
      <c r="X318" s="48"/>
      <c r="Y318" s="48"/>
      <c r="Z318" s="48"/>
      <c r="AA318" s="48">
        <f>25*20</f>
        <v>500</v>
      </c>
      <c r="AB318" s="48"/>
      <c r="AC318" s="48"/>
      <c r="AD318" s="48"/>
      <c r="AE318" s="48"/>
      <c r="AF318" s="48"/>
      <c r="AG318" s="48"/>
      <c r="AH318" s="48"/>
      <c r="AI318" s="48"/>
    </row>
    <row r="319" spans="1:35" x14ac:dyDescent="0.25">
      <c r="A319" s="48">
        <v>16</v>
      </c>
      <c r="B319" s="176" t="s">
        <v>1155</v>
      </c>
      <c r="C319" s="176" t="s">
        <v>1153</v>
      </c>
      <c r="D319" s="138">
        <f t="shared" si="15"/>
        <v>500</v>
      </c>
      <c r="E319" s="48"/>
      <c r="F319" s="48"/>
      <c r="G319" s="35"/>
      <c r="H319" s="35"/>
      <c r="I319" s="35"/>
      <c r="J319" s="35"/>
      <c r="K319" s="35"/>
      <c r="L319" s="35"/>
      <c r="M319" s="48"/>
      <c r="N319" s="48"/>
      <c r="O319" s="48"/>
      <c r="P319" s="48"/>
      <c r="Q319" s="48"/>
      <c r="R319" s="40"/>
      <c r="S319" s="40"/>
      <c r="T319" s="40"/>
      <c r="U319" s="40"/>
      <c r="V319" s="48"/>
      <c r="W319" s="48"/>
      <c r="X319" s="48"/>
      <c r="Y319" s="48"/>
      <c r="Z319" s="48"/>
      <c r="AA319" s="48">
        <v>500</v>
      </c>
      <c r="AB319" s="48"/>
      <c r="AC319" s="48"/>
      <c r="AD319" s="48"/>
      <c r="AE319" s="48"/>
      <c r="AF319" s="48"/>
      <c r="AG319" s="48"/>
      <c r="AH319" s="48"/>
      <c r="AI319" s="48"/>
    </row>
    <row r="320" spans="1:35" x14ac:dyDescent="0.25">
      <c r="A320" s="48">
        <v>17</v>
      </c>
      <c r="B320" s="176" t="s">
        <v>1183</v>
      </c>
      <c r="C320" s="176" t="s">
        <v>1181</v>
      </c>
      <c r="D320" s="138">
        <f t="shared" si="15"/>
        <v>4900</v>
      </c>
      <c r="E320" s="48"/>
      <c r="F320" s="48"/>
      <c r="G320" s="35"/>
      <c r="H320" s="35"/>
      <c r="I320" s="35"/>
      <c r="J320" s="35"/>
      <c r="K320" s="35"/>
      <c r="L320" s="35"/>
      <c r="M320" s="48"/>
      <c r="N320" s="48"/>
      <c r="O320" s="48"/>
      <c r="P320" s="48"/>
      <c r="Q320" s="48"/>
      <c r="R320" s="40"/>
      <c r="S320" s="40"/>
      <c r="T320" s="40"/>
      <c r="U320" s="40"/>
      <c r="V320" s="48"/>
      <c r="W320" s="48"/>
      <c r="X320" s="48"/>
      <c r="Y320" s="48"/>
      <c r="Z320" s="48"/>
      <c r="AA320" s="48"/>
      <c r="AB320" s="48"/>
      <c r="AC320" s="48"/>
      <c r="AD320" s="48">
        <v>500</v>
      </c>
      <c r="AE320" s="48">
        <f>147*30-10</f>
        <v>4400</v>
      </c>
      <c r="AF320" s="48"/>
      <c r="AG320" s="48"/>
      <c r="AH320" s="48"/>
      <c r="AI320" s="48"/>
    </row>
    <row r="321" spans="1:35" x14ac:dyDescent="0.25">
      <c r="A321" s="48">
        <v>18</v>
      </c>
      <c r="B321" s="176" t="s">
        <v>1184</v>
      </c>
      <c r="C321" s="176" t="s">
        <v>1182</v>
      </c>
      <c r="D321" s="138">
        <f t="shared" si="15"/>
        <v>4900</v>
      </c>
      <c r="E321" s="48"/>
      <c r="F321" s="48"/>
      <c r="G321" s="35"/>
      <c r="H321" s="35"/>
      <c r="I321" s="35"/>
      <c r="J321" s="35"/>
      <c r="K321" s="35"/>
      <c r="L321" s="35"/>
      <c r="M321" s="48"/>
      <c r="N321" s="48"/>
      <c r="O321" s="48"/>
      <c r="P321" s="48"/>
      <c r="Q321" s="48"/>
      <c r="R321" s="40"/>
      <c r="S321" s="40"/>
      <c r="T321" s="40"/>
      <c r="U321" s="40"/>
      <c r="V321" s="48"/>
      <c r="W321" s="48"/>
      <c r="X321" s="48"/>
      <c r="Y321" s="48"/>
      <c r="Z321" s="48"/>
      <c r="AA321" s="48"/>
      <c r="AB321" s="48"/>
      <c r="AC321" s="48"/>
      <c r="AD321" s="48">
        <v>500</v>
      </c>
      <c r="AE321" s="48">
        <f>100*30</f>
        <v>3000</v>
      </c>
      <c r="AF321" s="48">
        <v>1400</v>
      </c>
      <c r="AG321" s="48"/>
      <c r="AH321" s="48"/>
      <c r="AI321" s="48"/>
    </row>
    <row r="322" spans="1:35" x14ac:dyDescent="0.25">
      <c r="A322" s="48">
        <v>19</v>
      </c>
      <c r="B322" s="176" t="s">
        <v>1156</v>
      </c>
      <c r="C322" s="176" t="s">
        <v>1154</v>
      </c>
      <c r="D322" s="138">
        <f t="shared" si="15"/>
        <v>500</v>
      </c>
      <c r="E322" s="48"/>
      <c r="F322" s="48"/>
      <c r="G322" s="35"/>
      <c r="H322" s="35"/>
      <c r="I322" s="35"/>
      <c r="J322" s="35"/>
      <c r="K322" s="35"/>
      <c r="L322" s="35"/>
      <c r="M322" s="48"/>
      <c r="N322" s="48"/>
      <c r="O322" s="48"/>
      <c r="P322" s="48"/>
      <c r="Q322" s="48"/>
      <c r="R322" s="40"/>
      <c r="S322" s="40"/>
      <c r="T322" s="40"/>
      <c r="U322" s="40"/>
      <c r="V322" s="48"/>
      <c r="W322" s="48"/>
      <c r="X322" s="48"/>
      <c r="Y322" s="48"/>
      <c r="Z322" s="48"/>
      <c r="AA322" s="48">
        <v>500</v>
      </c>
      <c r="AB322" s="48"/>
      <c r="AC322" s="48"/>
      <c r="AD322" s="48"/>
      <c r="AE322" s="48"/>
      <c r="AF322" s="48"/>
      <c r="AG322" s="48"/>
      <c r="AH322" s="48"/>
      <c r="AI322" s="48"/>
    </row>
    <row r="323" spans="1:35" x14ac:dyDescent="0.25">
      <c r="A323" s="48">
        <v>20</v>
      </c>
      <c r="B323" s="166" t="s">
        <v>728</v>
      </c>
      <c r="C323" s="166" t="s">
        <v>727</v>
      </c>
      <c r="D323" s="138">
        <f t="shared" si="15"/>
        <v>400</v>
      </c>
      <c r="E323" s="48"/>
      <c r="F323" s="48"/>
      <c r="G323" s="35"/>
      <c r="H323" s="35"/>
      <c r="I323" s="35"/>
      <c r="J323" s="35"/>
      <c r="K323" s="35"/>
      <c r="L323" s="35"/>
      <c r="M323" s="48"/>
      <c r="N323" s="48"/>
      <c r="O323" s="48"/>
      <c r="P323" s="48"/>
      <c r="Q323" s="48"/>
      <c r="R323" s="40"/>
      <c r="S323" s="40"/>
      <c r="T323" s="40"/>
      <c r="U323" s="40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>
        <v>400</v>
      </c>
    </row>
    <row r="324" spans="1:35" x14ac:dyDescent="0.25">
      <c r="A324" s="48">
        <v>21</v>
      </c>
      <c r="B324" s="166" t="s">
        <v>732</v>
      </c>
      <c r="C324" s="166" t="s">
        <v>729</v>
      </c>
      <c r="D324" s="138">
        <f t="shared" si="15"/>
        <v>0</v>
      </c>
      <c r="E324" s="48"/>
      <c r="F324" s="48"/>
      <c r="G324" s="35"/>
      <c r="H324" s="35"/>
      <c r="I324" s="35"/>
      <c r="J324" s="35"/>
      <c r="K324" s="35"/>
      <c r="L324" s="35"/>
      <c r="M324" s="48"/>
      <c r="N324" s="48"/>
      <c r="O324" s="48"/>
      <c r="P324" s="48"/>
      <c r="Q324" s="48"/>
      <c r="R324" s="40"/>
      <c r="S324" s="40"/>
      <c r="T324" s="40"/>
      <c r="U324" s="40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</row>
    <row r="325" spans="1:35" x14ac:dyDescent="0.25">
      <c r="A325" s="48">
        <v>22</v>
      </c>
      <c r="B325" s="166" t="s">
        <v>733</v>
      </c>
      <c r="C325" s="166" t="s">
        <v>730</v>
      </c>
      <c r="D325" s="138">
        <f t="shared" si="15"/>
        <v>0</v>
      </c>
      <c r="E325" s="48"/>
      <c r="F325" s="48"/>
      <c r="G325" s="35"/>
      <c r="H325" s="35"/>
      <c r="I325" s="35"/>
      <c r="J325" s="35"/>
      <c r="K325" s="35"/>
      <c r="L325" s="35"/>
      <c r="M325" s="48"/>
      <c r="N325" s="48"/>
      <c r="O325" s="48"/>
      <c r="P325" s="48"/>
      <c r="Q325" s="48"/>
      <c r="R325" s="40"/>
      <c r="S325" s="40"/>
      <c r="T325" s="40"/>
      <c r="U325" s="40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</row>
    <row r="326" spans="1:35" x14ac:dyDescent="0.25">
      <c r="A326" s="48">
        <v>23</v>
      </c>
      <c r="B326" s="166" t="s">
        <v>734</v>
      </c>
      <c r="C326" s="166" t="s">
        <v>731</v>
      </c>
      <c r="D326" s="138">
        <f t="shared" si="15"/>
        <v>1436</v>
      </c>
      <c r="E326" s="48"/>
      <c r="F326" s="48"/>
      <c r="G326" s="35"/>
      <c r="H326" s="35"/>
      <c r="I326" s="35"/>
      <c r="J326" s="35"/>
      <c r="K326" s="35">
        <v>1436</v>
      </c>
      <c r="L326" s="35"/>
      <c r="M326" s="48"/>
      <c r="N326" s="48"/>
      <c r="O326" s="48"/>
      <c r="P326" s="48"/>
      <c r="Q326" s="48"/>
      <c r="R326" s="40"/>
      <c r="S326" s="40"/>
      <c r="T326" s="40"/>
      <c r="U326" s="40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</row>
    <row r="327" spans="1:35" x14ac:dyDescent="0.25">
      <c r="A327" s="48">
        <v>24</v>
      </c>
      <c r="B327" s="176" t="s">
        <v>978</v>
      </c>
      <c r="C327" s="176" t="s">
        <v>977</v>
      </c>
      <c r="D327" s="138">
        <f t="shared" si="15"/>
        <v>1320</v>
      </c>
      <c r="E327" s="48"/>
      <c r="F327" s="48"/>
      <c r="G327" s="35"/>
      <c r="H327" s="35">
        <v>1320</v>
      </c>
      <c r="I327" s="35"/>
      <c r="J327" s="35"/>
      <c r="K327" s="35"/>
      <c r="L327" s="35"/>
      <c r="M327" s="48"/>
      <c r="N327" s="48"/>
      <c r="O327" s="48"/>
      <c r="P327" s="48"/>
      <c r="Q327" s="48"/>
      <c r="R327" s="40"/>
      <c r="S327" s="40"/>
      <c r="T327" s="40"/>
      <c r="U327" s="40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</row>
    <row r="328" spans="1:35" x14ac:dyDescent="0.25">
      <c r="A328" s="48">
        <v>25</v>
      </c>
      <c r="B328" s="176" t="s">
        <v>982</v>
      </c>
      <c r="C328" s="176" t="s">
        <v>979</v>
      </c>
      <c r="D328" s="138">
        <f t="shared" si="15"/>
        <v>200</v>
      </c>
      <c r="E328" s="48"/>
      <c r="F328" s="48"/>
      <c r="G328" s="35"/>
      <c r="H328" s="35"/>
      <c r="I328" s="35"/>
      <c r="J328" s="35"/>
      <c r="K328" s="35">
        <v>200</v>
      </c>
      <c r="L328" s="35"/>
      <c r="M328" s="48"/>
      <c r="N328" s="48"/>
      <c r="O328" s="48"/>
      <c r="P328" s="48"/>
      <c r="Q328" s="48"/>
      <c r="R328" s="40"/>
      <c r="S328" s="40"/>
      <c r="T328" s="40"/>
      <c r="U328" s="40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</row>
    <row r="329" spans="1:35" x14ac:dyDescent="0.25">
      <c r="A329" s="48">
        <v>26</v>
      </c>
      <c r="B329" s="176" t="s">
        <v>983</v>
      </c>
      <c r="C329" s="176" t="s">
        <v>980</v>
      </c>
      <c r="D329" s="138">
        <f t="shared" si="15"/>
        <v>200</v>
      </c>
      <c r="E329" s="48"/>
      <c r="F329" s="48"/>
      <c r="G329" s="35"/>
      <c r="H329" s="35"/>
      <c r="I329" s="35"/>
      <c r="J329" s="35"/>
      <c r="K329" s="35">
        <v>200</v>
      </c>
      <c r="L329" s="35"/>
      <c r="M329" s="48"/>
      <c r="N329" s="48"/>
      <c r="O329" s="48"/>
      <c r="P329" s="48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48"/>
      <c r="AI329" s="137"/>
    </row>
    <row r="330" spans="1:35" x14ac:dyDescent="0.25">
      <c r="A330" s="48">
        <v>27</v>
      </c>
      <c r="B330" s="176" t="s">
        <v>1229</v>
      </c>
      <c r="C330" s="176" t="s">
        <v>1228</v>
      </c>
      <c r="D330" s="138">
        <f t="shared" si="15"/>
        <v>0</v>
      </c>
      <c r="E330" s="48"/>
      <c r="F330" s="48"/>
      <c r="G330" s="35"/>
      <c r="H330" s="35"/>
      <c r="I330" s="35"/>
      <c r="J330" s="35"/>
      <c r="K330" s="35"/>
      <c r="L330" s="35"/>
      <c r="M330" s="48"/>
      <c r="N330" s="48"/>
      <c r="O330" s="48"/>
      <c r="P330" s="48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48"/>
      <c r="AI330" s="137"/>
    </row>
    <row r="331" spans="1:35" x14ac:dyDescent="0.25">
      <c r="A331" s="48">
        <v>28</v>
      </c>
      <c r="B331" s="176" t="s">
        <v>984</v>
      </c>
      <c r="C331" s="176" t="s">
        <v>981</v>
      </c>
      <c r="D331" s="138">
        <f t="shared" si="15"/>
        <v>100</v>
      </c>
      <c r="E331" s="48"/>
      <c r="F331" s="48"/>
      <c r="G331" s="35"/>
      <c r="H331" s="35"/>
      <c r="I331" s="35"/>
      <c r="J331" s="35"/>
      <c r="K331" s="35">
        <v>100</v>
      </c>
      <c r="L331" s="35"/>
      <c r="M331" s="48"/>
      <c r="N331" s="48"/>
      <c r="O331" s="48"/>
      <c r="P331" s="48"/>
      <c r="Q331" s="48"/>
      <c r="R331" s="40"/>
      <c r="S331" s="40"/>
      <c r="T331" s="40"/>
      <c r="U331" s="40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</row>
    <row r="332" spans="1:35" x14ac:dyDescent="0.25">
      <c r="A332" s="48">
        <v>29</v>
      </c>
      <c r="B332" s="166" t="s">
        <v>326</v>
      </c>
      <c r="C332" s="166" t="s">
        <v>325</v>
      </c>
      <c r="D332" s="138">
        <f t="shared" si="15"/>
        <v>504</v>
      </c>
      <c r="E332" s="48"/>
      <c r="F332" s="48"/>
      <c r="G332" s="35"/>
      <c r="H332" s="35">
        <v>504</v>
      </c>
      <c r="I332" s="35"/>
      <c r="J332" s="35"/>
      <c r="K332" s="35"/>
      <c r="L332" s="35"/>
      <c r="M332" s="48"/>
      <c r="N332" s="48"/>
      <c r="O332" s="48"/>
      <c r="P332" s="48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8"/>
      <c r="AH332" s="48"/>
      <c r="AI332" s="49"/>
    </row>
    <row r="333" spans="1:35" x14ac:dyDescent="0.25">
      <c r="A333" s="48">
        <v>30</v>
      </c>
      <c r="B333" s="176" t="s">
        <v>1090</v>
      </c>
      <c r="C333" s="176" t="s">
        <v>1089</v>
      </c>
      <c r="D333" s="138">
        <f t="shared" si="15"/>
        <v>2000</v>
      </c>
      <c r="E333" s="48"/>
      <c r="F333" s="48"/>
      <c r="G333" s="35"/>
      <c r="H333" s="35"/>
      <c r="I333" s="35"/>
      <c r="J333" s="35"/>
      <c r="K333" s="35"/>
      <c r="L333" s="35"/>
      <c r="M333" s="48"/>
      <c r="N333" s="48"/>
      <c r="O333" s="48"/>
      <c r="P333" s="48"/>
      <c r="Q333" s="49"/>
      <c r="R333" s="49"/>
      <c r="S333" s="49"/>
      <c r="T333" s="49"/>
      <c r="U333" s="49"/>
      <c r="V333" s="49"/>
      <c r="W333" s="49"/>
      <c r="X333" s="49">
        <v>2000</v>
      </c>
      <c r="Y333" s="49"/>
      <c r="Z333" s="49"/>
      <c r="AA333" s="49"/>
      <c r="AB333" s="49"/>
      <c r="AC333" s="49"/>
      <c r="AD333" s="49"/>
      <c r="AE333" s="49"/>
      <c r="AF333" s="49"/>
      <c r="AG333" s="49"/>
      <c r="AH333" s="48"/>
      <c r="AI333" s="49"/>
    </row>
    <row r="334" spans="1:35" s="37" customFormat="1" x14ac:dyDescent="0.25">
      <c r="A334" s="48">
        <v>31</v>
      </c>
      <c r="B334" s="166" t="s">
        <v>837</v>
      </c>
      <c r="C334" s="166" t="s">
        <v>836</v>
      </c>
      <c r="D334" s="138">
        <f t="shared" si="15"/>
        <v>7500</v>
      </c>
      <c r="E334" s="48"/>
      <c r="F334" s="48"/>
      <c r="G334" s="35"/>
      <c r="H334" s="35"/>
      <c r="I334" s="35"/>
      <c r="J334" s="35"/>
      <c r="K334" s="35"/>
      <c r="L334" s="35"/>
      <c r="M334" s="48"/>
      <c r="N334" s="48"/>
      <c r="O334" s="48"/>
      <c r="P334" s="48"/>
      <c r="Q334" s="136"/>
      <c r="R334" s="35"/>
      <c r="S334" s="35"/>
      <c r="T334" s="136"/>
      <c r="U334" s="35"/>
      <c r="V334" s="35"/>
      <c r="W334" s="136"/>
      <c r="X334" s="35">
        <f>106*48</f>
        <v>5088</v>
      </c>
      <c r="Y334" s="35">
        <v>2412</v>
      </c>
      <c r="Z334" s="35"/>
      <c r="AA334" s="35"/>
      <c r="AB334" s="35"/>
      <c r="AC334" s="35"/>
      <c r="AD334" s="35"/>
      <c r="AE334" s="35"/>
      <c r="AF334" s="35"/>
      <c r="AG334" s="35"/>
      <c r="AH334" s="48"/>
      <c r="AI334" s="35"/>
    </row>
    <row r="335" spans="1:35" s="37" customFormat="1" x14ac:dyDescent="0.25">
      <c r="A335" s="48">
        <v>32</v>
      </c>
      <c r="B335" s="166" t="s">
        <v>664</v>
      </c>
      <c r="C335" s="166" t="s">
        <v>665</v>
      </c>
      <c r="D335" s="138">
        <f t="shared" si="15"/>
        <v>0</v>
      </c>
      <c r="E335" s="48"/>
      <c r="F335" s="48"/>
      <c r="G335" s="35"/>
      <c r="H335" s="35"/>
      <c r="I335" s="35"/>
      <c r="J335" s="35"/>
      <c r="K335" s="35"/>
      <c r="L335" s="35"/>
      <c r="M335" s="48"/>
      <c r="N335" s="48"/>
      <c r="O335" s="48"/>
      <c r="P335" s="48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48"/>
      <c r="AI335" s="35"/>
    </row>
    <row r="336" spans="1:35" s="37" customFormat="1" x14ac:dyDescent="0.2">
      <c r="A336" s="141" t="s">
        <v>140</v>
      </c>
      <c r="B336" s="33" t="s">
        <v>126</v>
      </c>
      <c r="C336" s="166" t="s">
        <v>141</v>
      </c>
      <c r="D336" s="143">
        <f t="shared" ref="D336:AI336" si="16">SUM(D337:D494)</f>
        <v>4463232</v>
      </c>
      <c r="E336" s="143">
        <f t="shared" si="16"/>
        <v>52966</v>
      </c>
      <c r="F336" s="143">
        <f t="shared" si="16"/>
        <v>0</v>
      </c>
      <c r="G336" s="143">
        <f t="shared" si="16"/>
        <v>99694</v>
      </c>
      <c r="H336" s="143">
        <f t="shared" si="16"/>
        <v>208086</v>
      </c>
      <c r="I336" s="143">
        <f t="shared" si="16"/>
        <v>264135</v>
      </c>
      <c r="J336" s="143">
        <f t="shared" si="16"/>
        <v>194560</v>
      </c>
      <c r="K336" s="143">
        <f t="shared" si="16"/>
        <v>265514</v>
      </c>
      <c r="L336" s="143">
        <f t="shared" si="16"/>
        <v>253388</v>
      </c>
      <c r="M336" s="143">
        <f t="shared" si="16"/>
        <v>239872</v>
      </c>
      <c r="N336" s="143">
        <f t="shared" si="16"/>
        <v>239256</v>
      </c>
      <c r="O336" s="143">
        <f t="shared" si="16"/>
        <v>269336</v>
      </c>
      <c r="P336" s="143">
        <f t="shared" si="16"/>
        <v>243411</v>
      </c>
      <c r="Q336" s="143">
        <f t="shared" si="16"/>
        <v>206412</v>
      </c>
      <c r="R336" s="143">
        <f t="shared" si="16"/>
        <v>0</v>
      </c>
      <c r="S336" s="143">
        <f t="shared" si="16"/>
        <v>0</v>
      </c>
      <c r="T336" s="143">
        <f t="shared" si="16"/>
        <v>0</v>
      </c>
      <c r="U336" s="143">
        <f t="shared" si="16"/>
        <v>140848</v>
      </c>
      <c r="V336" s="143">
        <f t="shared" si="16"/>
        <v>103606</v>
      </c>
      <c r="W336" s="143">
        <f t="shared" si="16"/>
        <v>85289</v>
      </c>
      <c r="X336" s="143">
        <f t="shared" si="16"/>
        <v>129020</v>
      </c>
      <c r="Y336" s="143">
        <f t="shared" si="16"/>
        <v>204113</v>
      </c>
      <c r="Z336" s="143">
        <f t="shared" si="16"/>
        <v>119056</v>
      </c>
      <c r="AA336" s="143">
        <f t="shared" si="16"/>
        <v>180088</v>
      </c>
      <c r="AB336" s="143">
        <f t="shared" si="16"/>
        <v>125516</v>
      </c>
      <c r="AC336" s="143">
        <f t="shared" si="16"/>
        <v>161252</v>
      </c>
      <c r="AD336" s="143">
        <f t="shared" si="16"/>
        <v>146892</v>
      </c>
      <c r="AE336" s="143">
        <f t="shared" si="16"/>
        <v>226480</v>
      </c>
      <c r="AF336" s="143">
        <f t="shared" si="16"/>
        <v>165937</v>
      </c>
      <c r="AG336" s="143">
        <f t="shared" si="16"/>
        <v>48769</v>
      </c>
      <c r="AH336" s="143">
        <f t="shared" si="16"/>
        <v>41436</v>
      </c>
      <c r="AI336" s="143">
        <f t="shared" si="16"/>
        <v>48300</v>
      </c>
    </row>
    <row r="337" spans="1:35" s="37" customFormat="1" x14ac:dyDescent="0.25">
      <c r="A337" s="48">
        <v>1</v>
      </c>
      <c r="B337" s="166" t="s">
        <v>842</v>
      </c>
      <c r="C337" s="166" t="s">
        <v>840</v>
      </c>
      <c r="D337" s="138">
        <f t="shared" ref="D337:D368" si="17">SUM(E337:AI337)</f>
        <v>4700</v>
      </c>
      <c r="E337" s="48"/>
      <c r="F337" s="48"/>
      <c r="G337" s="35"/>
      <c r="H337" s="35"/>
      <c r="I337" s="35"/>
      <c r="J337" s="35"/>
      <c r="K337" s="35"/>
      <c r="L337" s="35"/>
      <c r="M337" s="48"/>
      <c r="N337" s="48"/>
      <c r="O337" s="48"/>
      <c r="P337" s="48"/>
      <c r="Q337" s="35"/>
      <c r="R337" s="40"/>
      <c r="S337" s="40"/>
      <c r="T337" s="40"/>
      <c r="U337" s="40"/>
      <c r="V337" s="48">
        <v>4700</v>
      </c>
      <c r="W337" s="48"/>
      <c r="X337" s="48"/>
      <c r="Y337" s="48"/>
      <c r="Z337" s="48"/>
      <c r="AA337" s="48"/>
      <c r="AB337" s="48"/>
      <c r="AC337" s="48"/>
      <c r="AD337" s="35"/>
      <c r="AE337" s="48"/>
      <c r="AF337" s="48"/>
      <c r="AG337" s="48"/>
      <c r="AH337" s="48"/>
      <c r="AI337" s="49"/>
    </row>
    <row r="338" spans="1:35" s="37" customFormat="1" x14ac:dyDescent="0.25">
      <c r="A338" s="48">
        <v>2</v>
      </c>
      <c r="B338" s="166" t="s">
        <v>843</v>
      </c>
      <c r="C338" s="166" t="s">
        <v>841</v>
      </c>
      <c r="D338" s="138">
        <f t="shared" si="17"/>
        <v>5800</v>
      </c>
      <c r="E338" s="48"/>
      <c r="F338" s="48"/>
      <c r="G338" s="35"/>
      <c r="H338" s="35"/>
      <c r="I338" s="35"/>
      <c r="J338" s="35"/>
      <c r="K338" s="35"/>
      <c r="L338" s="35"/>
      <c r="M338" s="48"/>
      <c r="N338" s="48"/>
      <c r="O338" s="48"/>
      <c r="P338" s="48"/>
      <c r="Q338" s="35"/>
      <c r="R338" s="40"/>
      <c r="S338" s="40"/>
      <c r="T338" s="40"/>
      <c r="U338" s="40"/>
      <c r="V338" s="48"/>
      <c r="W338" s="48">
        <v>5800</v>
      </c>
      <c r="X338" s="48"/>
      <c r="Y338" s="48"/>
      <c r="Z338" s="48"/>
      <c r="AA338" s="48"/>
      <c r="AB338" s="48"/>
      <c r="AC338" s="48"/>
      <c r="AD338" s="35"/>
      <c r="AE338" s="48"/>
      <c r="AF338" s="48"/>
      <c r="AG338" s="48"/>
      <c r="AH338" s="48"/>
      <c r="AI338" s="49"/>
    </row>
    <row r="339" spans="1:35" x14ac:dyDescent="0.25">
      <c r="A339" s="48">
        <v>3</v>
      </c>
      <c r="B339" s="176" t="s">
        <v>1034</v>
      </c>
      <c r="C339" s="176" t="s">
        <v>1033</v>
      </c>
      <c r="D339" s="138">
        <f t="shared" si="17"/>
        <v>15300</v>
      </c>
      <c r="E339" s="48"/>
      <c r="F339" s="48"/>
      <c r="G339" s="35"/>
      <c r="H339" s="35"/>
      <c r="I339" s="35"/>
      <c r="J339" s="35"/>
      <c r="K339" s="35"/>
      <c r="L339" s="35"/>
      <c r="M339" s="48"/>
      <c r="N339" s="48"/>
      <c r="O339" s="48"/>
      <c r="P339" s="48"/>
      <c r="Q339" s="137"/>
      <c r="R339" s="40"/>
      <c r="S339" s="40"/>
      <c r="T339" s="40"/>
      <c r="U339" s="40"/>
      <c r="V339" s="48">
        <v>15300</v>
      </c>
      <c r="W339" s="48"/>
      <c r="X339" s="48"/>
      <c r="Y339" s="48"/>
      <c r="Z339" s="48"/>
      <c r="AA339" s="48"/>
      <c r="AB339" s="48"/>
      <c r="AC339" s="48"/>
      <c r="AD339" s="137"/>
      <c r="AE339" s="48"/>
      <c r="AF339" s="48"/>
      <c r="AG339" s="48"/>
      <c r="AH339" s="48"/>
      <c r="AI339" s="49"/>
    </row>
    <row r="340" spans="1:35" x14ac:dyDescent="0.25">
      <c r="A340" s="48">
        <v>4</v>
      </c>
      <c r="B340" s="176" t="s">
        <v>1038</v>
      </c>
      <c r="C340" s="176" t="s">
        <v>1035</v>
      </c>
      <c r="D340" s="138">
        <f t="shared" si="17"/>
        <v>2850</v>
      </c>
      <c r="E340" s="48"/>
      <c r="F340" s="48"/>
      <c r="G340" s="35"/>
      <c r="H340" s="35"/>
      <c r="I340" s="35"/>
      <c r="J340" s="35"/>
      <c r="K340" s="35"/>
      <c r="L340" s="35"/>
      <c r="M340" s="48"/>
      <c r="N340" s="48"/>
      <c r="O340" s="48"/>
      <c r="P340" s="48"/>
      <c r="Q340" s="48"/>
      <c r="R340" s="40"/>
      <c r="S340" s="40"/>
      <c r="T340" s="40"/>
      <c r="U340" s="40"/>
      <c r="V340" s="48"/>
      <c r="W340" s="48"/>
      <c r="X340" s="48"/>
      <c r="Y340" s="48">
        <v>2850</v>
      </c>
      <c r="Z340" s="48"/>
      <c r="AA340" s="48"/>
      <c r="AB340" s="48"/>
      <c r="AC340" s="48"/>
      <c r="AD340" s="48"/>
      <c r="AE340" s="48"/>
      <c r="AF340" s="48"/>
      <c r="AG340" s="48"/>
      <c r="AH340" s="48"/>
      <c r="AI340" s="49"/>
    </row>
    <row r="341" spans="1:35" x14ac:dyDescent="0.25">
      <c r="A341" s="48">
        <v>5</v>
      </c>
      <c r="B341" s="176" t="s">
        <v>1039</v>
      </c>
      <c r="C341" s="176" t="s">
        <v>1036</v>
      </c>
      <c r="D341" s="138">
        <f t="shared" si="17"/>
        <v>3050</v>
      </c>
      <c r="E341" s="48"/>
      <c r="F341" s="48"/>
      <c r="G341" s="35"/>
      <c r="H341" s="35"/>
      <c r="I341" s="35"/>
      <c r="J341" s="35"/>
      <c r="K341" s="35"/>
      <c r="L341" s="35"/>
      <c r="M341" s="48"/>
      <c r="N341" s="48"/>
      <c r="O341" s="48"/>
      <c r="P341" s="48"/>
      <c r="Q341" s="48"/>
      <c r="R341" s="40"/>
      <c r="S341" s="40"/>
      <c r="T341" s="40"/>
      <c r="U341" s="40"/>
      <c r="V341" s="48"/>
      <c r="W341" s="48"/>
      <c r="X341" s="48"/>
      <c r="Y341" s="48">
        <v>3050</v>
      </c>
      <c r="Z341" s="48"/>
      <c r="AA341" s="48"/>
      <c r="AB341" s="48"/>
      <c r="AC341" s="48"/>
      <c r="AD341" s="48"/>
      <c r="AE341" s="48"/>
      <c r="AF341" s="48"/>
      <c r="AG341" s="48"/>
      <c r="AH341" s="48"/>
      <c r="AI341" s="49"/>
    </row>
    <row r="342" spans="1:35" x14ac:dyDescent="0.25">
      <c r="A342" s="48">
        <v>6</v>
      </c>
      <c r="B342" s="176" t="s">
        <v>1040</v>
      </c>
      <c r="C342" s="176" t="s">
        <v>1037</v>
      </c>
      <c r="D342" s="138">
        <f t="shared" si="17"/>
        <v>6000</v>
      </c>
      <c r="E342" s="48"/>
      <c r="F342" s="48"/>
      <c r="G342" s="35"/>
      <c r="H342" s="35"/>
      <c r="I342" s="35"/>
      <c r="J342" s="35"/>
      <c r="K342" s="35"/>
      <c r="L342" s="35"/>
      <c r="M342" s="48"/>
      <c r="N342" s="48"/>
      <c r="O342" s="48">
        <f>72*15</f>
        <v>1080</v>
      </c>
      <c r="P342" s="48">
        <f>4125+57*15-60</f>
        <v>4920</v>
      </c>
      <c r="Q342" s="48"/>
      <c r="R342" s="40"/>
      <c r="S342" s="40"/>
      <c r="T342" s="40"/>
      <c r="U342" s="40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9"/>
    </row>
    <row r="343" spans="1:35" x14ac:dyDescent="0.25">
      <c r="A343" s="48">
        <v>7</v>
      </c>
      <c r="B343" s="176" t="s">
        <v>1042</v>
      </c>
      <c r="C343" s="176" t="s">
        <v>1041</v>
      </c>
      <c r="D343" s="138">
        <f t="shared" si="17"/>
        <v>1000</v>
      </c>
      <c r="E343" s="48"/>
      <c r="F343" s="48"/>
      <c r="G343" s="35"/>
      <c r="H343" s="35"/>
      <c r="I343" s="35"/>
      <c r="J343" s="35"/>
      <c r="K343" s="35"/>
      <c r="L343" s="35"/>
      <c r="M343" s="48"/>
      <c r="N343" s="48"/>
      <c r="O343" s="48"/>
      <c r="P343" s="48"/>
      <c r="Q343" s="137"/>
      <c r="R343" s="40"/>
      <c r="S343" s="40"/>
      <c r="T343" s="40"/>
      <c r="U343" s="40"/>
      <c r="V343" s="48"/>
      <c r="W343" s="48"/>
      <c r="X343" s="48"/>
      <c r="Y343" s="48">
        <f>25*20</f>
        <v>500</v>
      </c>
      <c r="Z343" s="48"/>
      <c r="AA343" s="48"/>
      <c r="AB343" s="48"/>
      <c r="AC343" s="48"/>
      <c r="AD343" s="137">
        <v>500</v>
      </c>
      <c r="AE343" s="48"/>
      <c r="AF343" s="48"/>
      <c r="AG343" s="48"/>
      <c r="AH343" s="48"/>
      <c r="AI343" s="49"/>
    </row>
    <row r="344" spans="1:35" x14ac:dyDescent="0.25">
      <c r="A344" s="48">
        <v>8</v>
      </c>
      <c r="B344" s="166" t="s">
        <v>452</v>
      </c>
      <c r="C344" s="166" t="s">
        <v>814</v>
      </c>
      <c r="D344" s="138">
        <f t="shared" si="17"/>
        <v>60</v>
      </c>
      <c r="E344" s="48"/>
      <c r="F344" s="48"/>
      <c r="G344" s="35"/>
      <c r="H344" s="35">
        <v>60</v>
      </c>
      <c r="I344" s="35"/>
      <c r="J344" s="35"/>
      <c r="K344" s="35"/>
      <c r="L344" s="35"/>
      <c r="M344" s="48"/>
      <c r="N344" s="48"/>
      <c r="O344" s="48"/>
      <c r="P344" s="48"/>
      <c r="Q344" s="48"/>
      <c r="R344" s="40"/>
      <c r="S344" s="40"/>
      <c r="T344" s="40"/>
      <c r="U344" s="40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9"/>
    </row>
    <row r="345" spans="1:35" x14ac:dyDescent="0.25">
      <c r="A345" s="48">
        <v>9</v>
      </c>
      <c r="B345" s="166" t="s">
        <v>865</v>
      </c>
      <c r="C345" s="166" t="s">
        <v>864</v>
      </c>
      <c r="D345" s="138">
        <f t="shared" si="17"/>
        <v>9000</v>
      </c>
      <c r="E345" s="48"/>
      <c r="F345" s="48"/>
      <c r="G345" s="35"/>
      <c r="H345" s="35"/>
      <c r="I345" s="35"/>
      <c r="J345" s="35"/>
      <c r="K345" s="35"/>
      <c r="L345" s="35"/>
      <c r="M345" s="48"/>
      <c r="N345" s="48"/>
      <c r="O345" s="48"/>
      <c r="P345" s="48"/>
      <c r="Q345" s="49"/>
      <c r="R345" s="40"/>
      <c r="S345" s="40"/>
      <c r="T345" s="40"/>
      <c r="U345" s="40"/>
      <c r="V345" s="48"/>
      <c r="W345" s="48"/>
      <c r="X345" s="48"/>
      <c r="Y345" s="48"/>
      <c r="Z345" s="48"/>
      <c r="AA345" s="48">
        <f>300*30</f>
        <v>9000</v>
      </c>
      <c r="AB345" s="48"/>
      <c r="AC345" s="48"/>
      <c r="AD345" s="49"/>
      <c r="AE345" s="48"/>
      <c r="AF345" s="48"/>
      <c r="AG345" s="48"/>
      <c r="AH345" s="48"/>
      <c r="AI345" s="49"/>
    </row>
    <row r="346" spans="1:35" s="37" customFormat="1" x14ac:dyDescent="0.25">
      <c r="A346" s="48">
        <v>10</v>
      </c>
      <c r="B346" s="176" t="s">
        <v>368</v>
      </c>
      <c r="C346" s="166" t="s">
        <v>874</v>
      </c>
      <c r="D346" s="138">
        <f t="shared" si="17"/>
        <v>115000</v>
      </c>
      <c r="E346" s="48"/>
      <c r="F346" s="48"/>
      <c r="G346" s="35"/>
      <c r="H346" s="35">
        <f>1000*30</f>
        <v>30000</v>
      </c>
      <c r="I346" s="35">
        <v>22500</v>
      </c>
      <c r="J346" s="35"/>
      <c r="K346" s="35"/>
      <c r="L346" s="35"/>
      <c r="M346" s="48"/>
      <c r="N346" s="48"/>
      <c r="O346" s="48"/>
      <c r="P346" s="48"/>
      <c r="Q346" s="136">
        <v>9000</v>
      </c>
      <c r="R346" s="40"/>
      <c r="S346" s="40"/>
      <c r="T346" s="40"/>
      <c r="U346" s="40">
        <v>11500</v>
      </c>
      <c r="V346" s="48"/>
      <c r="W346" s="48">
        <f>207*30</f>
        <v>6210</v>
      </c>
      <c r="X346" s="48"/>
      <c r="Y346" s="48"/>
      <c r="Z346" s="48"/>
      <c r="AA346" s="48"/>
      <c r="AB346" s="48">
        <f>180*30</f>
        <v>5400</v>
      </c>
      <c r="AC346" s="48">
        <f>448*30</f>
        <v>13440</v>
      </c>
      <c r="AD346" s="35">
        <f>567*30-60</f>
        <v>16950</v>
      </c>
      <c r="AE346" s="48"/>
      <c r="AF346" s="48"/>
      <c r="AG346" s="48"/>
      <c r="AH346" s="48"/>
      <c r="AI346" s="49"/>
    </row>
    <row r="347" spans="1:35" s="37" customFormat="1" x14ac:dyDescent="0.25">
      <c r="A347" s="48">
        <v>11</v>
      </c>
      <c r="B347" s="176" t="s">
        <v>876</v>
      </c>
      <c r="C347" s="166" t="s">
        <v>875</v>
      </c>
      <c r="D347" s="138">
        <f t="shared" si="17"/>
        <v>1600</v>
      </c>
      <c r="E347" s="48"/>
      <c r="F347" s="48"/>
      <c r="G347" s="35"/>
      <c r="H347" s="35"/>
      <c r="I347" s="35"/>
      <c r="J347" s="35"/>
      <c r="K347" s="35"/>
      <c r="L347" s="35"/>
      <c r="M347" s="48"/>
      <c r="N347" s="48"/>
      <c r="O347" s="48"/>
      <c r="P347" s="48"/>
      <c r="Q347" s="35"/>
      <c r="R347" s="40"/>
      <c r="S347" s="40"/>
      <c r="T347" s="40"/>
      <c r="U347" s="40"/>
      <c r="V347" s="48"/>
      <c r="W347" s="48"/>
      <c r="X347" s="48"/>
      <c r="Y347" s="48"/>
      <c r="Z347" s="48"/>
      <c r="AA347" s="48"/>
      <c r="AB347" s="48"/>
      <c r="AC347" s="48"/>
      <c r="AD347" s="35"/>
      <c r="AE347" s="48"/>
      <c r="AF347" s="48">
        <f>33*48+16</f>
        <v>1600</v>
      </c>
      <c r="AG347" s="48"/>
      <c r="AH347" s="48"/>
      <c r="AI347" s="49"/>
    </row>
    <row r="348" spans="1:35" s="37" customFormat="1" x14ac:dyDescent="0.25">
      <c r="A348" s="48">
        <v>12</v>
      </c>
      <c r="B348" s="166" t="s">
        <v>687</v>
      </c>
      <c r="C348" s="166" t="s">
        <v>686</v>
      </c>
      <c r="D348" s="138">
        <f t="shared" si="17"/>
        <v>131500</v>
      </c>
      <c r="E348" s="48"/>
      <c r="F348" s="48"/>
      <c r="G348" s="35"/>
      <c r="H348" s="35"/>
      <c r="I348" s="35">
        <f>834*30-20</f>
        <v>25000</v>
      </c>
      <c r="J348" s="35"/>
      <c r="K348" s="35">
        <f>879*30</f>
        <v>26370</v>
      </c>
      <c r="L348" s="35">
        <v>16650</v>
      </c>
      <c r="M348" s="48"/>
      <c r="N348" s="48"/>
      <c r="O348" s="48"/>
      <c r="P348" s="48">
        <f>1660*30</f>
        <v>49800</v>
      </c>
      <c r="Q348" s="35">
        <v>3630</v>
      </c>
      <c r="R348" s="40"/>
      <c r="S348" s="40"/>
      <c r="T348" s="40"/>
      <c r="U348" s="40"/>
      <c r="V348" s="48">
        <f>210*30</f>
        <v>6300</v>
      </c>
      <c r="W348" s="48"/>
      <c r="X348" s="48">
        <v>3750</v>
      </c>
      <c r="Y348" s="48"/>
      <c r="Z348" s="48"/>
      <c r="AA348" s="48"/>
      <c r="AB348" s="48"/>
      <c r="AC348" s="48"/>
      <c r="AD348" s="35"/>
      <c r="AE348" s="48"/>
      <c r="AF348" s="48"/>
      <c r="AG348" s="48"/>
      <c r="AH348" s="48"/>
      <c r="AI348" s="49"/>
    </row>
    <row r="349" spans="1:35" s="37" customFormat="1" x14ac:dyDescent="0.25">
      <c r="A349" s="48">
        <v>13</v>
      </c>
      <c r="B349" s="176" t="s">
        <v>974</v>
      </c>
      <c r="C349" s="176" t="s">
        <v>973</v>
      </c>
      <c r="D349" s="138">
        <f t="shared" si="17"/>
        <v>437300</v>
      </c>
      <c r="E349" s="48"/>
      <c r="F349" s="48"/>
      <c r="G349" s="35"/>
      <c r="H349" s="35">
        <f>1300*42+1081*42-2</f>
        <v>100000</v>
      </c>
      <c r="I349" s="35">
        <f>1191*42</f>
        <v>50022</v>
      </c>
      <c r="J349" s="35">
        <f>680*42+510*42-2</f>
        <v>49978</v>
      </c>
      <c r="K349" s="35">
        <v>40000</v>
      </c>
      <c r="L349" s="35"/>
      <c r="M349" s="48">
        <f>750*42</f>
        <v>31500</v>
      </c>
      <c r="N349" s="48">
        <f>915*42+715*42</f>
        <v>68460</v>
      </c>
      <c r="O349" s="48">
        <v>15316</v>
      </c>
      <c r="P349" s="48">
        <v>31794</v>
      </c>
      <c r="Q349" s="35"/>
      <c r="R349" s="40"/>
      <c r="S349" s="40"/>
      <c r="T349" s="40"/>
      <c r="U349" s="40">
        <v>1218</v>
      </c>
      <c r="V349" s="48">
        <f>250*42+235*42+110*42+596*42-1010</f>
        <v>49012</v>
      </c>
      <c r="W349" s="48"/>
      <c r="X349" s="48"/>
      <c r="Y349" s="48"/>
      <c r="Z349" s="48"/>
      <c r="AA349" s="48"/>
      <c r="AB349" s="48"/>
      <c r="AC349" s="48"/>
      <c r="AD349" s="35"/>
      <c r="AE349" s="48"/>
      <c r="AF349" s="48"/>
      <c r="AG349" s="48"/>
      <c r="AH349" s="48"/>
      <c r="AI349" s="49"/>
    </row>
    <row r="350" spans="1:35" s="37" customFormat="1" x14ac:dyDescent="0.25">
      <c r="A350" s="48">
        <v>14</v>
      </c>
      <c r="B350" s="176" t="s">
        <v>976</v>
      </c>
      <c r="C350" s="176" t="s">
        <v>975</v>
      </c>
      <c r="D350" s="138">
        <f t="shared" si="17"/>
        <v>7640</v>
      </c>
      <c r="E350" s="48"/>
      <c r="F350" s="48"/>
      <c r="G350" s="35"/>
      <c r="H350" s="35">
        <f>415*16</f>
        <v>6640</v>
      </c>
      <c r="I350" s="35"/>
      <c r="J350" s="35"/>
      <c r="K350" s="35"/>
      <c r="L350" s="35"/>
      <c r="M350" s="48"/>
      <c r="N350" s="48"/>
      <c r="O350" s="48"/>
      <c r="P350" s="48"/>
      <c r="Q350" s="35"/>
      <c r="R350" s="40"/>
      <c r="S350" s="40"/>
      <c r="T350" s="40"/>
      <c r="U350" s="40"/>
      <c r="V350" s="48"/>
      <c r="W350" s="48"/>
      <c r="X350" s="48"/>
      <c r="Y350" s="48"/>
      <c r="Z350" s="48"/>
      <c r="AA350" s="48">
        <v>1000</v>
      </c>
      <c r="AB350" s="48"/>
      <c r="AC350" s="48"/>
      <c r="AD350" s="35"/>
      <c r="AE350" s="48"/>
      <c r="AF350" s="48"/>
      <c r="AG350" s="48"/>
      <c r="AH350" s="48"/>
      <c r="AI350" s="49"/>
    </row>
    <row r="351" spans="1:35" s="37" customFormat="1" x14ac:dyDescent="0.25">
      <c r="A351" s="48">
        <v>15</v>
      </c>
      <c r="B351" s="166" t="s">
        <v>342</v>
      </c>
      <c r="C351" s="166" t="s">
        <v>423</v>
      </c>
      <c r="D351" s="138">
        <f t="shared" si="17"/>
        <v>9200</v>
      </c>
      <c r="E351" s="48"/>
      <c r="F351" s="48"/>
      <c r="G351" s="35"/>
      <c r="H351" s="35"/>
      <c r="I351" s="35"/>
      <c r="J351" s="35"/>
      <c r="K351" s="35">
        <v>2620</v>
      </c>
      <c r="L351" s="35">
        <v>1764</v>
      </c>
      <c r="M351" s="48">
        <v>802</v>
      </c>
      <c r="N351" s="48">
        <v>14</v>
      </c>
      <c r="O351" s="48"/>
      <c r="P351" s="48"/>
      <c r="Q351" s="35"/>
      <c r="R351" s="40"/>
      <c r="S351" s="40"/>
      <c r="T351" s="40"/>
      <c r="U351" s="40"/>
      <c r="V351" s="48"/>
      <c r="W351" s="48"/>
      <c r="X351" s="48"/>
      <c r="Y351" s="48"/>
      <c r="Z351" s="48"/>
      <c r="AA351" s="48"/>
      <c r="AB351" s="48"/>
      <c r="AC351" s="48"/>
      <c r="AD351" s="35"/>
      <c r="AE351" s="48"/>
      <c r="AF351" s="48"/>
      <c r="AG351" s="48"/>
      <c r="AH351" s="48">
        <f>1600*2</f>
        <v>3200</v>
      </c>
      <c r="AI351" s="49">
        <v>800</v>
      </c>
    </row>
    <row r="352" spans="1:35" s="37" customFormat="1" x14ac:dyDescent="0.25">
      <c r="A352" s="48">
        <v>16</v>
      </c>
      <c r="B352" s="176" t="s">
        <v>970</v>
      </c>
      <c r="C352" s="176" t="s">
        <v>969</v>
      </c>
      <c r="D352" s="138">
        <f t="shared" si="17"/>
        <v>470</v>
      </c>
      <c r="E352" s="48"/>
      <c r="F352" s="48"/>
      <c r="G352" s="35">
        <v>470</v>
      </c>
      <c r="H352" s="35"/>
      <c r="I352" s="35"/>
      <c r="J352" s="35"/>
      <c r="K352" s="35"/>
      <c r="L352" s="35"/>
      <c r="M352" s="48"/>
      <c r="N352" s="48"/>
      <c r="O352" s="48"/>
      <c r="P352" s="48"/>
      <c r="Q352" s="35"/>
      <c r="R352" s="40"/>
      <c r="S352" s="40"/>
      <c r="T352" s="40"/>
      <c r="U352" s="40"/>
      <c r="V352" s="48"/>
      <c r="W352" s="48"/>
      <c r="X352" s="48"/>
      <c r="Y352" s="48"/>
      <c r="Z352" s="48"/>
      <c r="AA352" s="48"/>
      <c r="AB352" s="48"/>
      <c r="AC352" s="48"/>
      <c r="AD352" s="35"/>
      <c r="AE352" s="48"/>
      <c r="AF352" s="48"/>
      <c r="AG352" s="48"/>
      <c r="AH352" s="48"/>
      <c r="AI352" s="49"/>
    </row>
    <row r="353" spans="1:35" s="37" customFormat="1" x14ac:dyDescent="0.25">
      <c r="A353" s="48">
        <v>17</v>
      </c>
      <c r="B353" s="166" t="s">
        <v>495</v>
      </c>
      <c r="C353" s="166" t="s">
        <v>494</v>
      </c>
      <c r="D353" s="138">
        <f t="shared" si="17"/>
        <v>5100</v>
      </c>
      <c r="E353" s="48"/>
      <c r="F353" s="48"/>
      <c r="G353" s="35"/>
      <c r="H353" s="35"/>
      <c r="I353" s="35"/>
      <c r="J353" s="35"/>
      <c r="K353" s="35"/>
      <c r="L353" s="35"/>
      <c r="M353" s="48"/>
      <c r="N353" s="48"/>
      <c r="O353" s="48"/>
      <c r="P353" s="48"/>
      <c r="Q353" s="35"/>
      <c r="R353" s="40"/>
      <c r="S353" s="40"/>
      <c r="T353" s="40"/>
      <c r="U353" s="40"/>
      <c r="V353" s="48"/>
      <c r="W353" s="48">
        <v>5100</v>
      </c>
      <c r="X353" s="48"/>
      <c r="Y353" s="48"/>
      <c r="Z353" s="48"/>
      <c r="AA353" s="48"/>
      <c r="AB353" s="48"/>
      <c r="AC353" s="48"/>
      <c r="AD353" s="35"/>
      <c r="AE353" s="48"/>
      <c r="AF353" s="48"/>
      <c r="AG353" s="48"/>
      <c r="AH353" s="48"/>
      <c r="AI353" s="49"/>
    </row>
    <row r="354" spans="1:35" s="37" customFormat="1" x14ac:dyDescent="0.25">
      <c r="A354" s="48">
        <v>18</v>
      </c>
      <c r="B354" s="176" t="s">
        <v>1045</v>
      </c>
      <c r="C354" s="176" t="s">
        <v>1043</v>
      </c>
      <c r="D354" s="138">
        <f t="shared" si="17"/>
        <v>4400</v>
      </c>
      <c r="E354" s="48"/>
      <c r="F354" s="48"/>
      <c r="G354" s="35"/>
      <c r="H354" s="35"/>
      <c r="I354" s="35"/>
      <c r="J354" s="35"/>
      <c r="K354" s="35"/>
      <c r="L354" s="35"/>
      <c r="M354" s="48"/>
      <c r="N354" s="48"/>
      <c r="O354" s="48">
        <f>147*15-5</f>
        <v>2200</v>
      </c>
      <c r="P354" s="48"/>
      <c r="Q354" s="35"/>
      <c r="R354" s="40"/>
      <c r="S354" s="40"/>
      <c r="T354" s="40"/>
      <c r="U354" s="40"/>
      <c r="V354" s="48"/>
      <c r="W354" s="48">
        <f>147*15-5</f>
        <v>2200</v>
      </c>
      <c r="X354" s="48"/>
      <c r="Y354" s="48"/>
      <c r="Z354" s="48"/>
      <c r="AA354" s="48"/>
      <c r="AB354" s="48"/>
      <c r="AC354" s="48"/>
      <c r="AD354" s="35"/>
      <c r="AE354" s="48"/>
      <c r="AF354" s="48"/>
      <c r="AG354" s="48"/>
      <c r="AH354" s="48"/>
      <c r="AI354" s="49"/>
    </row>
    <row r="355" spans="1:35" s="37" customFormat="1" x14ac:dyDescent="0.25">
      <c r="A355" s="48">
        <v>19</v>
      </c>
      <c r="B355" s="176" t="s">
        <v>1046</v>
      </c>
      <c r="C355" s="176" t="s">
        <v>1044</v>
      </c>
      <c r="D355" s="138">
        <f t="shared" si="17"/>
        <v>3460</v>
      </c>
      <c r="E355" s="48"/>
      <c r="F355" s="48"/>
      <c r="G355" s="35"/>
      <c r="H355" s="35"/>
      <c r="I355" s="35"/>
      <c r="J355" s="35"/>
      <c r="K355" s="35"/>
      <c r="L355" s="35"/>
      <c r="M355" s="48"/>
      <c r="N355" s="48"/>
      <c r="O355" s="48">
        <f>400*4</f>
        <v>1600</v>
      </c>
      <c r="P355" s="48">
        <v>600</v>
      </c>
      <c r="Q355" s="35"/>
      <c r="R355" s="40"/>
      <c r="S355" s="40"/>
      <c r="T355" s="40"/>
      <c r="U355" s="40"/>
      <c r="V355" s="48"/>
      <c r="W355" s="48">
        <v>800</v>
      </c>
      <c r="X355" s="48"/>
      <c r="Y355" s="48"/>
      <c r="Z355" s="48"/>
      <c r="AA355" s="48"/>
      <c r="AB355" s="48">
        <v>460</v>
      </c>
      <c r="AC355" s="48"/>
      <c r="AD355" s="35"/>
      <c r="AE355" s="48"/>
      <c r="AF355" s="48"/>
      <c r="AG355" s="48"/>
      <c r="AH355" s="48"/>
      <c r="AI355" s="49"/>
    </row>
    <row r="356" spans="1:35" s="37" customFormat="1" x14ac:dyDescent="0.25">
      <c r="A356" s="48">
        <v>20</v>
      </c>
      <c r="B356" s="166" t="s">
        <v>342</v>
      </c>
      <c r="C356" s="166" t="s">
        <v>496</v>
      </c>
      <c r="D356" s="138">
        <f t="shared" si="17"/>
        <v>12300</v>
      </c>
      <c r="E356" s="48"/>
      <c r="F356" s="48"/>
      <c r="G356" s="35"/>
      <c r="H356" s="35"/>
      <c r="I356" s="35"/>
      <c r="J356" s="35"/>
      <c r="K356" s="35"/>
      <c r="L356" s="35"/>
      <c r="M356" s="48"/>
      <c r="N356" s="48"/>
      <c r="O356" s="48"/>
      <c r="P356" s="48"/>
      <c r="Q356" s="35"/>
      <c r="R356" s="40"/>
      <c r="S356" s="40"/>
      <c r="T356" s="40"/>
      <c r="U356" s="40"/>
      <c r="V356" s="48"/>
      <c r="W356" s="48"/>
      <c r="X356" s="48">
        <f>20*2</f>
        <v>40</v>
      </c>
      <c r="Y356" s="48">
        <f>1095*2</f>
        <v>2190</v>
      </c>
      <c r="Z356" s="48">
        <f>1286*2+8</f>
        <v>2580</v>
      </c>
      <c r="AA356" s="48"/>
      <c r="AB356" s="48">
        <f>3200*2+1090</f>
        <v>7490</v>
      </c>
      <c r="AC356" s="48"/>
      <c r="AD356" s="35"/>
      <c r="AE356" s="48"/>
      <c r="AF356" s="48"/>
      <c r="AG356" s="48"/>
      <c r="AH356" s="48"/>
      <c r="AI356" s="49"/>
    </row>
    <row r="357" spans="1:35" s="37" customFormat="1" x14ac:dyDescent="0.25">
      <c r="A357" s="48">
        <v>21</v>
      </c>
      <c r="B357" s="166" t="s">
        <v>652</v>
      </c>
      <c r="C357" s="166" t="s">
        <v>651</v>
      </c>
      <c r="D357" s="138">
        <f t="shared" si="17"/>
        <v>1100</v>
      </c>
      <c r="E357" s="48"/>
      <c r="F357" s="48"/>
      <c r="G357" s="35"/>
      <c r="H357" s="35"/>
      <c r="I357" s="35"/>
      <c r="J357" s="35"/>
      <c r="K357" s="35"/>
      <c r="L357" s="35"/>
      <c r="M357" s="48"/>
      <c r="N357" s="48"/>
      <c r="O357" s="48"/>
      <c r="P357" s="48"/>
      <c r="Q357" s="35"/>
      <c r="R357" s="40"/>
      <c r="S357" s="40"/>
      <c r="T357" s="40"/>
      <c r="U357" s="40">
        <v>1100</v>
      </c>
      <c r="V357" s="48"/>
      <c r="W357" s="48"/>
      <c r="X357" s="48"/>
      <c r="Y357" s="48"/>
      <c r="Z357" s="48"/>
      <c r="AA357" s="48"/>
      <c r="AB357" s="48"/>
      <c r="AC357" s="48"/>
      <c r="AD357" s="35"/>
      <c r="AE357" s="48"/>
      <c r="AF357" s="48"/>
      <c r="AG357" s="48"/>
      <c r="AH357" s="48"/>
      <c r="AI357" s="49"/>
    </row>
    <row r="358" spans="1:35" s="37" customFormat="1" x14ac:dyDescent="0.25">
      <c r="A358" s="48">
        <v>22</v>
      </c>
      <c r="B358" s="166" t="s">
        <v>407</v>
      </c>
      <c r="C358" s="166" t="s">
        <v>408</v>
      </c>
      <c r="D358" s="138">
        <f t="shared" si="17"/>
        <v>49000</v>
      </c>
      <c r="E358" s="48"/>
      <c r="F358" s="48"/>
      <c r="G358" s="35"/>
      <c r="H358" s="35"/>
      <c r="I358" s="35"/>
      <c r="J358" s="35"/>
      <c r="K358" s="35"/>
      <c r="L358" s="35"/>
      <c r="M358" s="48"/>
      <c r="N358" s="48">
        <f>407*16+1355*16</f>
        <v>28192</v>
      </c>
      <c r="O358" s="48">
        <v>1808</v>
      </c>
      <c r="P358" s="48"/>
      <c r="Q358" s="35">
        <v>19000</v>
      </c>
      <c r="R358" s="40"/>
      <c r="S358" s="40"/>
      <c r="T358" s="40"/>
      <c r="U358" s="40"/>
      <c r="V358" s="48"/>
      <c r="W358" s="48"/>
      <c r="X358" s="48"/>
      <c r="Y358" s="48"/>
      <c r="Z358" s="48"/>
      <c r="AA358" s="48"/>
      <c r="AB358" s="48"/>
      <c r="AC358" s="48"/>
      <c r="AD358" s="35"/>
      <c r="AE358" s="48"/>
      <c r="AF358" s="48"/>
      <c r="AG358" s="48"/>
      <c r="AH358" s="48"/>
      <c r="AI358" s="49"/>
    </row>
    <row r="359" spans="1:35" s="37" customFormat="1" x14ac:dyDescent="0.25">
      <c r="A359" s="48">
        <v>23</v>
      </c>
      <c r="B359" s="166" t="s">
        <v>541</v>
      </c>
      <c r="C359" s="166" t="s">
        <v>540</v>
      </c>
      <c r="D359" s="138">
        <f t="shared" si="17"/>
        <v>800</v>
      </c>
      <c r="E359" s="48"/>
      <c r="F359" s="48"/>
      <c r="G359" s="35"/>
      <c r="H359" s="35"/>
      <c r="I359" s="35"/>
      <c r="J359" s="35"/>
      <c r="K359" s="35"/>
      <c r="L359" s="35"/>
      <c r="M359" s="48"/>
      <c r="N359" s="48"/>
      <c r="O359" s="48"/>
      <c r="P359" s="48"/>
      <c r="Q359" s="35"/>
      <c r="R359" s="40"/>
      <c r="S359" s="40"/>
      <c r="T359" s="40"/>
      <c r="U359" s="40"/>
      <c r="V359" s="48"/>
      <c r="W359" s="48"/>
      <c r="X359" s="48"/>
      <c r="Y359" s="48"/>
      <c r="Z359" s="48"/>
      <c r="AA359" s="48"/>
      <c r="AB359" s="48">
        <v>800</v>
      </c>
      <c r="AC359" s="48"/>
      <c r="AD359" s="35"/>
      <c r="AE359" s="48"/>
      <c r="AF359" s="48"/>
      <c r="AG359" s="48"/>
      <c r="AH359" s="48"/>
      <c r="AI359" s="49"/>
    </row>
    <row r="360" spans="1:35" s="37" customFormat="1" x14ac:dyDescent="0.25">
      <c r="A360" s="48">
        <v>24</v>
      </c>
      <c r="B360" s="166" t="s">
        <v>654</v>
      </c>
      <c r="C360" s="166" t="s">
        <v>653</v>
      </c>
      <c r="D360" s="138">
        <f t="shared" si="17"/>
        <v>190</v>
      </c>
      <c r="E360" s="48"/>
      <c r="F360" s="48"/>
      <c r="G360" s="35"/>
      <c r="H360" s="35"/>
      <c r="I360" s="35"/>
      <c r="J360" s="35"/>
      <c r="K360" s="35"/>
      <c r="L360" s="35"/>
      <c r="M360" s="48"/>
      <c r="N360" s="48"/>
      <c r="O360" s="48"/>
      <c r="P360" s="48"/>
      <c r="Q360" s="35"/>
      <c r="R360" s="40"/>
      <c r="S360" s="40"/>
      <c r="T360" s="40"/>
      <c r="U360" s="40"/>
      <c r="V360" s="48"/>
      <c r="W360" s="48">
        <v>190</v>
      </c>
      <c r="X360" s="48"/>
      <c r="Y360" s="48"/>
      <c r="Z360" s="48"/>
      <c r="AA360" s="48"/>
      <c r="AB360" s="48"/>
      <c r="AC360" s="48"/>
      <c r="AD360" s="35"/>
      <c r="AE360" s="48"/>
      <c r="AF360" s="48"/>
      <c r="AG360" s="48"/>
      <c r="AH360" s="48"/>
      <c r="AI360" s="49"/>
    </row>
    <row r="361" spans="1:35" s="37" customFormat="1" x14ac:dyDescent="0.25">
      <c r="A361" s="48">
        <v>25</v>
      </c>
      <c r="B361" s="166" t="s">
        <v>173</v>
      </c>
      <c r="C361" s="166" t="s">
        <v>172</v>
      </c>
      <c r="D361" s="138">
        <f t="shared" si="17"/>
        <v>284986</v>
      </c>
      <c r="E361" s="48"/>
      <c r="F361" s="48"/>
      <c r="G361" s="35"/>
      <c r="H361" s="35"/>
      <c r="I361" s="35"/>
      <c r="J361" s="35"/>
      <c r="K361" s="35"/>
      <c r="L361" s="35"/>
      <c r="M361" s="48"/>
      <c r="N361" s="48">
        <f>715*42</f>
        <v>30030</v>
      </c>
      <c r="O361" s="48">
        <f>470*42+245*42-60</f>
        <v>29970</v>
      </c>
      <c r="P361" s="48"/>
      <c r="Q361" s="35">
        <v>9808</v>
      </c>
      <c r="R361" s="40"/>
      <c r="S361" s="40"/>
      <c r="T361" s="40"/>
      <c r="U361" s="40">
        <v>192</v>
      </c>
      <c r="V361" s="48"/>
      <c r="W361" s="48"/>
      <c r="X361" s="48"/>
      <c r="Y361" s="48">
        <v>40000</v>
      </c>
      <c r="Z361" s="48"/>
      <c r="AA361" s="48">
        <v>40000</v>
      </c>
      <c r="AB361" s="48">
        <f>722*42+4662</f>
        <v>34986</v>
      </c>
      <c r="AC361" s="48"/>
      <c r="AD361" s="48">
        <f>12600+7400</f>
        <v>20000</v>
      </c>
      <c r="AE361" s="48">
        <f>1130*42+953*42-7486</f>
        <v>80000</v>
      </c>
      <c r="AF361" s="48"/>
      <c r="AG361" s="48"/>
      <c r="AH361" s="48"/>
      <c r="AI361" s="49"/>
    </row>
    <row r="362" spans="1:35" s="37" customFormat="1" x14ac:dyDescent="0.25">
      <c r="A362" s="48">
        <v>26</v>
      </c>
      <c r="B362" s="166" t="s">
        <v>349</v>
      </c>
      <c r="C362" s="166" t="s">
        <v>348</v>
      </c>
      <c r="D362" s="138">
        <f t="shared" si="17"/>
        <v>3000</v>
      </c>
      <c r="E362" s="48"/>
      <c r="F362" s="48"/>
      <c r="G362" s="35"/>
      <c r="H362" s="35"/>
      <c r="I362" s="35"/>
      <c r="J362" s="35"/>
      <c r="K362" s="35"/>
      <c r="L362" s="35"/>
      <c r="M362" s="48"/>
      <c r="N362" s="48"/>
      <c r="O362" s="48"/>
      <c r="P362" s="48"/>
      <c r="Q362" s="35"/>
      <c r="R362" s="40"/>
      <c r="S362" s="40"/>
      <c r="T362" s="40"/>
      <c r="U362" s="40">
        <v>3000</v>
      </c>
      <c r="V362" s="48"/>
      <c r="W362" s="48"/>
      <c r="X362" s="48"/>
      <c r="Y362" s="48"/>
      <c r="Z362" s="48"/>
      <c r="AA362" s="48"/>
      <c r="AB362" s="48"/>
      <c r="AC362" s="48"/>
      <c r="AD362" s="35"/>
      <c r="AE362" s="48"/>
      <c r="AF362" s="48"/>
      <c r="AG362" s="48"/>
      <c r="AH362" s="48"/>
      <c r="AI362" s="49"/>
    </row>
    <row r="363" spans="1:35" s="37" customFormat="1" x14ac:dyDescent="0.25">
      <c r="A363" s="48">
        <v>27</v>
      </c>
      <c r="B363" s="166" t="s">
        <v>207</v>
      </c>
      <c r="C363" s="166" t="s">
        <v>206</v>
      </c>
      <c r="D363" s="138">
        <f t="shared" si="17"/>
        <v>688127</v>
      </c>
      <c r="E363" s="48">
        <f>900*42</f>
        <v>37800</v>
      </c>
      <c r="F363" s="48"/>
      <c r="G363" s="35">
        <f>1254*42+8</f>
        <v>52676</v>
      </c>
      <c r="H363" s="35"/>
      <c r="I363" s="35">
        <f>1066*42+1542*42-12</f>
        <v>109524</v>
      </c>
      <c r="J363" s="35">
        <f>1191*42</f>
        <v>50022</v>
      </c>
      <c r="K363" s="35">
        <f>931*42+260*42</f>
        <v>50022</v>
      </c>
      <c r="L363" s="35">
        <f>1420*42</f>
        <v>59640</v>
      </c>
      <c r="M363" s="48">
        <f>953*42</f>
        <v>40026</v>
      </c>
      <c r="N363" s="48">
        <f>355*42</f>
        <v>14910</v>
      </c>
      <c r="O363" s="48">
        <f>360*42+35*42</f>
        <v>16590</v>
      </c>
      <c r="P363" s="48">
        <f>624*42+100*42+455*42</f>
        <v>49518</v>
      </c>
      <c r="Q363" s="35">
        <f>668*42+519*42</f>
        <v>49854</v>
      </c>
      <c r="R363" s="40"/>
      <c r="S363" s="40"/>
      <c r="T363" s="40"/>
      <c r="U363" s="40">
        <f>836*42+10000+206*42</f>
        <v>53764</v>
      </c>
      <c r="V363" s="48"/>
      <c r="W363" s="48">
        <v>13314</v>
      </c>
      <c r="X363" s="48">
        <f>1675*42+147*42</f>
        <v>76524</v>
      </c>
      <c r="Y363" s="48">
        <v>2179</v>
      </c>
      <c r="Z363" s="48">
        <v>1764</v>
      </c>
      <c r="AA363" s="48"/>
      <c r="AB363" s="48">
        <v>10000</v>
      </c>
      <c r="AC363" s="48"/>
      <c r="AD363" s="35"/>
      <c r="AE363" s="48"/>
      <c r="AF363" s="48"/>
      <c r="AG363" s="48"/>
      <c r="AH363" s="48"/>
      <c r="AI363" s="49"/>
    </row>
    <row r="364" spans="1:35" x14ac:dyDescent="0.25">
      <c r="A364" s="48">
        <v>28</v>
      </c>
      <c r="B364" s="176" t="s">
        <v>343</v>
      </c>
      <c r="C364" s="176" t="s">
        <v>1167</v>
      </c>
      <c r="D364" s="138">
        <f t="shared" si="17"/>
        <v>49000</v>
      </c>
      <c r="E364" s="48"/>
      <c r="F364" s="48"/>
      <c r="G364" s="35"/>
      <c r="H364" s="35"/>
      <c r="I364" s="35"/>
      <c r="J364" s="35"/>
      <c r="K364" s="35"/>
      <c r="L364" s="35"/>
      <c r="M364" s="48"/>
      <c r="N364" s="48"/>
      <c r="O364" s="48"/>
      <c r="P364" s="48"/>
      <c r="Q364" s="137"/>
      <c r="R364" s="40"/>
      <c r="S364" s="40"/>
      <c r="T364" s="40"/>
      <c r="U364" s="40"/>
      <c r="V364" s="48"/>
      <c r="W364" s="48"/>
      <c r="X364" s="48"/>
      <c r="Y364" s="48"/>
      <c r="Z364" s="48"/>
      <c r="AA364" s="48"/>
      <c r="AB364" s="48">
        <v>20000</v>
      </c>
      <c r="AC364" s="48"/>
      <c r="AD364" s="137"/>
      <c r="AE364" s="48"/>
      <c r="AF364" s="48">
        <f>688*42+11</f>
        <v>28907</v>
      </c>
      <c r="AG364" s="48"/>
      <c r="AH364" s="48">
        <v>93</v>
      </c>
      <c r="AI364" s="49"/>
    </row>
    <row r="365" spans="1:35" s="37" customFormat="1" x14ac:dyDescent="0.25">
      <c r="A365" s="48">
        <v>29</v>
      </c>
      <c r="B365" s="166" t="s">
        <v>569</v>
      </c>
      <c r="C365" s="166" t="s">
        <v>568</v>
      </c>
      <c r="D365" s="138">
        <f t="shared" si="17"/>
        <v>134</v>
      </c>
      <c r="E365" s="48"/>
      <c r="F365" s="48"/>
      <c r="G365" s="35"/>
      <c r="H365" s="35"/>
      <c r="I365" s="35"/>
      <c r="J365" s="35"/>
      <c r="K365" s="35"/>
      <c r="L365" s="35"/>
      <c r="M365" s="48"/>
      <c r="N365" s="48"/>
      <c r="O365" s="48"/>
      <c r="P365" s="48">
        <v>134</v>
      </c>
      <c r="Q365" s="35"/>
      <c r="R365" s="40"/>
      <c r="S365" s="40"/>
      <c r="T365" s="40"/>
      <c r="U365" s="40"/>
      <c r="V365" s="48"/>
      <c r="W365" s="48"/>
      <c r="X365" s="48"/>
      <c r="Y365" s="48"/>
      <c r="Z365" s="48"/>
      <c r="AA365" s="48"/>
      <c r="AB365" s="48"/>
      <c r="AC365" s="48"/>
      <c r="AD365" s="35"/>
      <c r="AE365" s="48"/>
      <c r="AF365" s="48"/>
      <c r="AG365" s="48"/>
      <c r="AH365" s="48"/>
      <c r="AI365" s="49"/>
    </row>
    <row r="366" spans="1:35" s="37" customFormat="1" x14ac:dyDescent="0.25">
      <c r="A366" s="48">
        <v>30</v>
      </c>
      <c r="B366" s="166" t="s">
        <v>433</v>
      </c>
      <c r="C366" s="166" t="s">
        <v>432</v>
      </c>
      <c r="D366" s="138">
        <f t="shared" si="17"/>
        <v>1500</v>
      </c>
      <c r="E366" s="48"/>
      <c r="F366" s="48"/>
      <c r="G366" s="35"/>
      <c r="H366" s="35"/>
      <c r="I366" s="35"/>
      <c r="J366" s="35"/>
      <c r="K366" s="35"/>
      <c r="L366" s="35"/>
      <c r="M366" s="48"/>
      <c r="N366" s="48"/>
      <c r="O366" s="48"/>
      <c r="P366" s="48"/>
      <c r="Q366" s="35"/>
      <c r="R366" s="40"/>
      <c r="S366" s="40"/>
      <c r="T366" s="40"/>
      <c r="U366" s="40"/>
      <c r="V366" s="48"/>
      <c r="W366" s="48"/>
      <c r="X366" s="48">
        <v>1500</v>
      </c>
      <c r="Y366" s="48"/>
      <c r="Z366" s="48"/>
      <c r="AA366" s="48"/>
      <c r="AB366" s="48"/>
      <c r="AC366" s="48"/>
      <c r="AD366" s="35"/>
      <c r="AE366" s="48"/>
      <c r="AF366" s="48"/>
      <c r="AG366" s="48"/>
      <c r="AH366" s="48"/>
      <c r="AI366" s="49"/>
    </row>
    <row r="367" spans="1:35" s="37" customFormat="1" x14ac:dyDescent="0.25">
      <c r="A367" s="48">
        <v>31</v>
      </c>
      <c r="B367" s="176" t="s">
        <v>1218</v>
      </c>
      <c r="C367" s="176" t="s">
        <v>1217</v>
      </c>
      <c r="D367" s="138">
        <f t="shared" si="17"/>
        <v>300</v>
      </c>
      <c r="E367" s="48"/>
      <c r="F367" s="48"/>
      <c r="G367" s="35"/>
      <c r="H367" s="35"/>
      <c r="I367" s="35"/>
      <c r="J367" s="35"/>
      <c r="K367" s="35"/>
      <c r="L367" s="35"/>
      <c r="M367" s="48"/>
      <c r="N367" s="48"/>
      <c r="O367" s="48"/>
      <c r="P367" s="48"/>
      <c r="Q367" s="35"/>
      <c r="R367" s="40"/>
      <c r="S367" s="40"/>
      <c r="T367" s="40"/>
      <c r="U367" s="40"/>
      <c r="V367" s="48"/>
      <c r="W367" s="48"/>
      <c r="X367" s="48"/>
      <c r="Y367" s="48"/>
      <c r="Z367" s="48"/>
      <c r="AA367" s="48"/>
      <c r="AB367" s="48"/>
      <c r="AC367" s="48"/>
      <c r="AD367" s="35"/>
      <c r="AE367" s="48">
        <v>300</v>
      </c>
      <c r="AF367" s="48"/>
      <c r="AG367" s="48"/>
      <c r="AH367" s="48"/>
      <c r="AI367" s="49"/>
    </row>
    <row r="368" spans="1:35" s="37" customFormat="1" x14ac:dyDescent="0.25">
      <c r="A368" s="48">
        <v>32</v>
      </c>
      <c r="B368" s="166" t="s">
        <v>584</v>
      </c>
      <c r="C368" s="166" t="s">
        <v>583</v>
      </c>
      <c r="D368" s="138">
        <f t="shared" si="17"/>
        <v>22800</v>
      </c>
      <c r="E368" s="48"/>
      <c r="F368" s="48"/>
      <c r="G368" s="35"/>
      <c r="H368" s="35"/>
      <c r="I368" s="35"/>
      <c r="J368" s="35"/>
      <c r="K368" s="35">
        <v>1800</v>
      </c>
      <c r="L368" s="35"/>
      <c r="M368" s="48"/>
      <c r="N368" s="48"/>
      <c r="O368" s="48"/>
      <c r="P368" s="48"/>
      <c r="Q368" s="35"/>
      <c r="R368" s="40"/>
      <c r="S368" s="40"/>
      <c r="T368" s="40"/>
      <c r="U368" s="40"/>
      <c r="V368" s="48"/>
      <c r="W368" s="48"/>
      <c r="X368" s="48"/>
      <c r="Y368" s="48"/>
      <c r="Z368" s="48"/>
      <c r="AA368" s="48"/>
      <c r="AB368" s="48"/>
      <c r="AC368" s="48"/>
      <c r="AD368" s="35"/>
      <c r="AE368" s="48"/>
      <c r="AF368" s="48"/>
      <c r="AG368" s="48"/>
      <c r="AH368" s="48">
        <f>700*30</f>
        <v>21000</v>
      </c>
      <c r="AI368" s="49"/>
    </row>
    <row r="369" spans="1:35" s="37" customFormat="1" x14ac:dyDescent="0.25">
      <c r="A369" s="48">
        <v>33</v>
      </c>
      <c r="B369" s="166" t="s">
        <v>350</v>
      </c>
      <c r="C369" s="166" t="s">
        <v>351</v>
      </c>
      <c r="D369" s="138">
        <f t="shared" ref="D369:D400" si="18">SUM(E369:AI369)</f>
        <v>11300</v>
      </c>
      <c r="E369" s="48"/>
      <c r="F369" s="48"/>
      <c r="G369" s="35"/>
      <c r="H369" s="35">
        <v>9996</v>
      </c>
      <c r="I369" s="35"/>
      <c r="J369" s="35">
        <v>4</v>
      </c>
      <c r="K369" s="35"/>
      <c r="L369" s="35"/>
      <c r="M369" s="48"/>
      <c r="N369" s="48"/>
      <c r="O369" s="48"/>
      <c r="P369" s="48"/>
      <c r="Q369" s="35"/>
      <c r="R369" s="40"/>
      <c r="S369" s="40"/>
      <c r="T369" s="40"/>
      <c r="U369" s="40"/>
      <c r="V369" s="48"/>
      <c r="W369" s="48"/>
      <c r="X369" s="48"/>
      <c r="Y369" s="48">
        <v>1300</v>
      </c>
      <c r="Z369" s="48"/>
      <c r="AA369" s="48"/>
      <c r="AB369" s="48"/>
      <c r="AC369" s="48"/>
      <c r="AD369" s="35"/>
      <c r="AE369" s="48"/>
      <c r="AF369" s="48"/>
      <c r="AG369" s="48"/>
      <c r="AH369" s="48"/>
      <c r="AI369" s="49"/>
    </row>
    <row r="370" spans="1:35" s="37" customFormat="1" x14ac:dyDescent="0.25">
      <c r="A370" s="48">
        <v>34</v>
      </c>
      <c r="B370" s="166" t="s">
        <v>473</v>
      </c>
      <c r="C370" s="166" t="s">
        <v>472</v>
      </c>
      <c r="D370" s="138">
        <f t="shared" si="18"/>
        <v>1940</v>
      </c>
      <c r="E370" s="48"/>
      <c r="F370" s="48"/>
      <c r="G370" s="35"/>
      <c r="H370" s="35"/>
      <c r="I370" s="35"/>
      <c r="J370" s="35"/>
      <c r="K370" s="35"/>
      <c r="L370" s="35"/>
      <c r="M370" s="48">
        <v>1940</v>
      </c>
      <c r="N370" s="48"/>
      <c r="O370" s="48"/>
      <c r="P370" s="48"/>
      <c r="Q370" s="35"/>
      <c r="R370" s="40"/>
      <c r="S370" s="40"/>
      <c r="T370" s="40"/>
      <c r="U370" s="40"/>
      <c r="V370" s="48"/>
      <c r="W370" s="48"/>
      <c r="X370" s="48"/>
      <c r="Y370" s="48"/>
      <c r="Z370" s="48"/>
      <c r="AA370" s="48"/>
      <c r="AB370" s="48"/>
      <c r="AC370" s="48"/>
      <c r="AD370" s="35"/>
      <c r="AE370" s="48"/>
      <c r="AF370" s="48"/>
      <c r="AG370" s="48"/>
      <c r="AH370" s="48"/>
      <c r="AI370" s="49"/>
    </row>
    <row r="371" spans="1:35" s="37" customFormat="1" x14ac:dyDescent="0.25">
      <c r="A371" s="48">
        <v>35</v>
      </c>
      <c r="B371" s="176" t="s">
        <v>1159</v>
      </c>
      <c r="C371" s="176" t="s">
        <v>1157</v>
      </c>
      <c r="D371" s="138">
        <f t="shared" si="18"/>
        <v>10000</v>
      </c>
      <c r="E371" s="48"/>
      <c r="F371" s="48"/>
      <c r="G371" s="35"/>
      <c r="H371" s="35"/>
      <c r="I371" s="35"/>
      <c r="J371" s="35"/>
      <c r="K371" s="35"/>
      <c r="L371" s="35"/>
      <c r="M371" s="48"/>
      <c r="N371" s="48"/>
      <c r="O371" s="48"/>
      <c r="P371" s="48"/>
      <c r="Q371" s="35"/>
      <c r="R371" s="40"/>
      <c r="S371" s="40"/>
      <c r="T371" s="40"/>
      <c r="U371" s="40"/>
      <c r="V371" s="48"/>
      <c r="W371" s="48"/>
      <c r="X371" s="48"/>
      <c r="Y371" s="48"/>
      <c r="Z371" s="48"/>
      <c r="AA371" s="48"/>
      <c r="AB371" s="48">
        <f>141*30</f>
        <v>4230</v>
      </c>
      <c r="AC371" s="48">
        <v>5770</v>
      </c>
      <c r="AD371" s="35"/>
      <c r="AE371" s="48"/>
      <c r="AF371" s="48"/>
      <c r="AG371" s="48"/>
      <c r="AH371" s="48"/>
      <c r="AI371" s="49"/>
    </row>
    <row r="372" spans="1:35" s="37" customFormat="1" x14ac:dyDescent="0.25">
      <c r="A372" s="48">
        <v>36</v>
      </c>
      <c r="B372" s="176" t="s">
        <v>1160</v>
      </c>
      <c r="C372" s="176" t="s">
        <v>1158</v>
      </c>
      <c r="D372" s="138">
        <f t="shared" si="18"/>
        <v>10000</v>
      </c>
      <c r="E372" s="48"/>
      <c r="F372" s="48"/>
      <c r="G372" s="35"/>
      <c r="H372" s="35"/>
      <c r="I372" s="35"/>
      <c r="J372" s="35"/>
      <c r="K372" s="35"/>
      <c r="L372" s="35"/>
      <c r="M372" s="48"/>
      <c r="N372" s="48"/>
      <c r="O372" s="48"/>
      <c r="P372" s="48"/>
      <c r="Q372" s="35"/>
      <c r="R372" s="40"/>
      <c r="S372" s="40"/>
      <c r="T372" s="40"/>
      <c r="U372" s="40"/>
      <c r="V372" s="48"/>
      <c r="W372" s="48"/>
      <c r="X372" s="48"/>
      <c r="Y372" s="48"/>
      <c r="Z372" s="48"/>
      <c r="AA372" s="48"/>
      <c r="AB372" s="48">
        <f>9000+1000</f>
        <v>10000</v>
      </c>
      <c r="AC372" s="48"/>
      <c r="AD372" s="35"/>
      <c r="AE372" s="48"/>
      <c r="AF372" s="48"/>
      <c r="AG372" s="48"/>
      <c r="AH372" s="48"/>
      <c r="AI372" s="49"/>
    </row>
    <row r="373" spans="1:35" s="37" customFormat="1" x14ac:dyDescent="0.25">
      <c r="A373" s="48">
        <v>37</v>
      </c>
      <c r="B373" s="176" t="s">
        <v>1162</v>
      </c>
      <c r="C373" s="176" t="s">
        <v>1161</v>
      </c>
      <c r="D373" s="138">
        <f t="shared" si="18"/>
        <v>6000</v>
      </c>
      <c r="E373" s="48"/>
      <c r="F373" s="48"/>
      <c r="G373" s="35"/>
      <c r="H373" s="35"/>
      <c r="I373" s="35"/>
      <c r="J373" s="35"/>
      <c r="K373" s="35"/>
      <c r="L373" s="35"/>
      <c r="M373" s="48"/>
      <c r="N373" s="48"/>
      <c r="O373" s="48"/>
      <c r="P373" s="48"/>
      <c r="Q373" s="35"/>
      <c r="R373" s="40"/>
      <c r="S373" s="40"/>
      <c r="T373" s="40"/>
      <c r="U373" s="40"/>
      <c r="V373" s="48"/>
      <c r="W373" s="48"/>
      <c r="X373" s="48"/>
      <c r="Y373" s="48"/>
      <c r="Z373" s="48"/>
      <c r="AA373" s="48">
        <f>200*30</f>
        <v>6000</v>
      </c>
      <c r="AB373" s="48"/>
      <c r="AC373" s="48"/>
      <c r="AD373" s="35"/>
      <c r="AE373" s="48"/>
      <c r="AF373" s="48"/>
      <c r="AG373" s="48"/>
      <c r="AH373" s="48"/>
      <c r="AI373" s="49"/>
    </row>
    <row r="374" spans="1:35" s="37" customFormat="1" x14ac:dyDescent="0.25">
      <c r="A374" s="48">
        <v>38</v>
      </c>
      <c r="B374" s="176" t="s">
        <v>1189</v>
      </c>
      <c r="C374" s="176" t="s">
        <v>1185</v>
      </c>
      <c r="D374" s="138">
        <f t="shared" si="18"/>
        <v>1000</v>
      </c>
      <c r="E374" s="48"/>
      <c r="F374" s="48"/>
      <c r="G374" s="35"/>
      <c r="H374" s="35"/>
      <c r="I374" s="35"/>
      <c r="J374" s="35"/>
      <c r="K374" s="35"/>
      <c r="L374" s="35"/>
      <c r="M374" s="48"/>
      <c r="N374" s="48"/>
      <c r="O374" s="48"/>
      <c r="P374" s="48"/>
      <c r="Q374" s="35"/>
      <c r="R374" s="40"/>
      <c r="S374" s="40"/>
      <c r="T374" s="40"/>
      <c r="U374" s="40"/>
      <c r="V374" s="48"/>
      <c r="W374" s="48"/>
      <c r="X374" s="48"/>
      <c r="Y374" s="48"/>
      <c r="Z374" s="48"/>
      <c r="AA374" s="48"/>
      <c r="AB374" s="48"/>
      <c r="AC374" s="48"/>
      <c r="AD374" s="35"/>
      <c r="AE374" s="48">
        <v>1000</v>
      </c>
      <c r="AF374" s="48"/>
      <c r="AG374" s="48"/>
      <c r="AH374" s="48"/>
      <c r="AI374" s="49"/>
    </row>
    <row r="375" spans="1:35" s="37" customFormat="1" x14ac:dyDescent="0.25">
      <c r="A375" s="48">
        <v>39</v>
      </c>
      <c r="B375" s="176" t="s">
        <v>1190</v>
      </c>
      <c r="C375" s="176" t="s">
        <v>1186</v>
      </c>
      <c r="D375" s="138">
        <f t="shared" si="18"/>
        <v>1000</v>
      </c>
      <c r="E375" s="48"/>
      <c r="F375" s="48"/>
      <c r="G375" s="35"/>
      <c r="H375" s="35"/>
      <c r="I375" s="35"/>
      <c r="J375" s="35"/>
      <c r="K375" s="35"/>
      <c r="L375" s="35"/>
      <c r="M375" s="48"/>
      <c r="N375" s="48"/>
      <c r="O375" s="48"/>
      <c r="P375" s="48"/>
      <c r="Q375" s="146"/>
      <c r="R375" s="40"/>
      <c r="S375" s="40"/>
      <c r="T375" s="40"/>
      <c r="U375" s="40"/>
      <c r="V375" s="48"/>
      <c r="W375" s="48"/>
      <c r="X375" s="48"/>
      <c r="Y375" s="48"/>
      <c r="Z375" s="48"/>
      <c r="AA375" s="48"/>
      <c r="AB375" s="48"/>
      <c r="AC375" s="48"/>
      <c r="AD375" s="146"/>
      <c r="AE375" s="48">
        <v>1000</v>
      </c>
      <c r="AF375" s="48"/>
      <c r="AG375" s="48"/>
      <c r="AH375" s="48"/>
      <c r="AI375" s="49"/>
    </row>
    <row r="376" spans="1:35" x14ac:dyDescent="0.25">
      <c r="A376" s="48">
        <v>40</v>
      </c>
      <c r="B376" s="176" t="s">
        <v>1191</v>
      </c>
      <c r="C376" s="176" t="s">
        <v>1187</v>
      </c>
      <c r="D376" s="138">
        <f t="shared" si="18"/>
        <v>1000</v>
      </c>
      <c r="E376" s="48"/>
      <c r="F376" s="48"/>
      <c r="G376" s="35"/>
      <c r="H376" s="35"/>
      <c r="I376" s="35"/>
      <c r="J376" s="35"/>
      <c r="K376" s="35"/>
      <c r="L376" s="35"/>
      <c r="M376" s="48"/>
      <c r="N376" s="48"/>
      <c r="O376" s="48"/>
      <c r="P376" s="48"/>
      <c r="Q376" s="48"/>
      <c r="R376" s="40"/>
      <c r="S376" s="40"/>
      <c r="T376" s="40"/>
      <c r="U376" s="40"/>
      <c r="V376" s="48"/>
      <c r="W376" s="48"/>
      <c r="X376" s="48"/>
      <c r="Y376" s="48"/>
      <c r="Z376" s="48"/>
      <c r="AA376" s="48"/>
      <c r="AB376" s="48"/>
      <c r="AC376" s="48"/>
      <c r="AD376" s="48"/>
      <c r="AE376" s="48">
        <v>1000</v>
      </c>
      <c r="AF376" s="48"/>
      <c r="AG376" s="48"/>
      <c r="AH376" s="48"/>
      <c r="AI376" s="49"/>
    </row>
    <row r="377" spans="1:35" x14ac:dyDescent="0.25">
      <c r="A377" s="48">
        <v>41</v>
      </c>
      <c r="B377" s="176" t="s">
        <v>1192</v>
      </c>
      <c r="C377" s="176" t="s">
        <v>1188</v>
      </c>
      <c r="D377" s="138">
        <f t="shared" si="18"/>
        <v>17000</v>
      </c>
      <c r="E377" s="48"/>
      <c r="F377" s="48"/>
      <c r="G377" s="35"/>
      <c r="H377" s="35"/>
      <c r="I377" s="35"/>
      <c r="J377" s="35"/>
      <c r="K377" s="35"/>
      <c r="L377" s="35"/>
      <c r="M377" s="48"/>
      <c r="N377" s="48"/>
      <c r="O377" s="48"/>
      <c r="P377" s="48"/>
      <c r="Q377" s="49"/>
      <c r="R377" s="40"/>
      <c r="S377" s="40"/>
      <c r="T377" s="40"/>
      <c r="U377" s="40"/>
      <c r="V377" s="48"/>
      <c r="W377" s="48"/>
      <c r="X377" s="48"/>
      <c r="Y377" s="48"/>
      <c r="Z377" s="48"/>
      <c r="AA377" s="48"/>
      <c r="AB377" s="48"/>
      <c r="AC377" s="48"/>
      <c r="AD377" s="49">
        <f>56*30+334*30</f>
        <v>11700</v>
      </c>
      <c r="AE377" s="48">
        <v>5300</v>
      </c>
      <c r="AF377" s="48"/>
      <c r="AG377" s="48"/>
      <c r="AH377" s="48"/>
      <c r="AI377" s="49"/>
    </row>
    <row r="378" spans="1:35" s="37" customFormat="1" x14ac:dyDescent="0.25">
      <c r="A378" s="48">
        <v>42</v>
      </c>
      <c r="B378" s="166" t="s">
        <v>516</v>
      </c>
      <c r="C378" s="166" t="s">
        <v>515</v>
      </c>
      <c r="D378" s="138">
        <f t="shared" si="18"/>
        <v>8860</v>
      </c>
      <c r="E378" s="48"/>
      <c r="F378" s="48"/>
      <c r="G378" s="35"/>
      <c r="H378" s="35">
        <v>8860</v>
      </c>
      <c r="I378" s="35"/>
      <c r="J378" s="35"/>
      <c r="K378" s="35"/>
      <c r="L378" s="35"/>
      <c r="M378" s="48"/>
      <c r="N378" s="48"/>
      <c r="O378" s="48"/>
      <c r="P378" s="48"/>
      <c r="Q378" s="136"/>
      <c r="R378" s="40"/>
      <c r="S378" s="40"/>
      <c r="T378" s="40"/>
      <c r="U378" s="40"/>
      <c r="V378" s="48"/>
      <c r="W378" s="48"/>
      <c r="X378" s="48"/>
      <c r="Y378" s="48"/>
      <c r="Z378" s="48"/>
      <c r="AA378" s="48"/>
      <c r="AB378" s="48"/>
      <c r="AC378" s="48"/>
      <c r="AD378" s="35"/>
      <c r="AE378" s="48"/>
      <c r="AF378" s="48"/>
      <c r="AG378" s="48"/>
      <c r="AH378" s="48"/>
      <c r="AI378" s="49"/>
    </row>
    <row r="379" spans="1:35" s="37" customFormat="1" x14ac:dyDescent="0.25">
      <c r="A379" s="48">
        <v>43</v>
      </c>
      <c r="B379" s="166" t="s">
        <v>518</v>
      </c>
      <c r="C379" s="166" t="s">
        <v>517</v>
      </c>
      <c r="D379" s="138">
        <f t="shared" si="18"/>
        <v>2800</v>
      </c>
      <c r="E379" s="48"/>
      <c r="F379" s="48"/>
      <c r="G379" s="35"/>
      <c r="H379" s="35"/>
      <c r="I379" s="35"/>
      <c r="J379" s="35"/>
      <c r="K379" s="35">
        <f>655*2</f>
        <v>1310</v>
      </c>
      <c r="L379" s="35">
        <v>490</v>
      </c>
      <c r="M379" s="48"/>
      <c r="N379" s="48"/>
      <c r="O379" s="48"/>
      <c r="P379" s="48"/>
      <c r="Q379" s="35"/>
      <c r="R379" s="40"/>
      <c r="S379" s="40"/>
      <c r="T379" s="40"/>
      <c r="U379" s="40"/>
      <c r="V379" s="48"/>
      <c r="W379" s="48"/>
      <c r="X379" s="48"/>
      <c r="Y379" s="48"/>
      <c r="Z379" s="48"/>
      <c r="AA379" s="48"/>
      <c r="AB379" s="48"/>
      <c r="AC379" s="48"/>
      <c r="AD379" s="35"/>
      <c r="AE379" s="48"/>
      <c r="AF379" s="48"/>
      <c r="AG379" s="48">
        <v>1000</v>
      </c>
      <c r="AH379" s="48"/>
      <c r="AI379" s="49"/>
    </row>
    <row r="380" spans="1:35" s="37" customFormat="1" x14ac:dyDescent="0.25">
      <c r="A380" s="48">
        <v>44</v>
      </c>
      <c r="B380" s="176" t="s">
        <v>1224</v>
      </c>
      <c r="C380" s="176" t="s">
        <v>1223</v>
      </c>
      <c r="D380" s="138">
        <f t="shared" si="18"/>
        <v>600</v>
      </c>
      <c r="E380" s="48"/>
      <c r="F380" s="48"/>
      <c r="G380" s="35"/>
      <c r="H380" s="35"/>
      <c r="I380" s="35"/>
      <c r="J380" s="35"/>
      <c r="K380" s="35"/>
      <c r="L380" s="35"/>
      <c r="M380" s="48"/>
      <c r="N380" s="48"/>
      <c r="O380" s="48"/>
      <c r="P380" s="48"/>
      <c r="Q380" s="35"/>
      <c r="R380" s="40"/>
      <c r="S380" s="40"/>
      <c r="T380" s="40"/>
      <c r="U380" s="40"/>
      <c r="V380" s="48"/>
      <c r="W380" s="48"/>
      <c r="X380" s="48"/>
      <c r="Y380" s="48"/>
      <c r="Z380" s="48"/>
      <c r="AA380" s="48"/>
      <c r="AB380" s="48"/>
      <c r="AC380" s="48"/>
      <c r="AD380" s="35"/>
      <c r="AE380" s="48"/>
      <c r="AF380" s="48"/>
      <c r="AG380" s="48">
        <v>600</v>
      </c>
      <c r="AH380" s="48"/>
      <c r="AI380" s="49"/>
    </row>
    <row r="381" spans="1:35" s="37" customFormat="1" x14ac:dyDescent="0.25">
      <c r="A381" s="48">
        <v>45</v>
      </c>
      <c r="B381" s="166" t="s">
        <v>520</v>
      </c>
      <c r="C381" s="166" t="s">
        <v>519</v>
      </c>
      <c r="D381" s="138">
        <f t="shared" si="18"/>
        <v>0</v>
      </c>
      <c r="E381" s="48"/>
      <c r="F381" s="48"/>
      <c r="G381" s="35"/>
      <c r="H381" s="35"/>
      <c r="I381" s="35"/>
      <c r="J381" s="35"/>
      <c r="K381" s="35"/>
      <c r="L381" s="35"/>
      <c r="M381" s="48"/>
      <c r="N381" s="48"/>
      <c r="O381" s="48"/>
      <c r="P381" s="48"/>
      <c r="Q381" s="35"/>
      <c r="R381" s="40"/>
      <c r="S381" s="40"/>
      <c r="T381" s="40"/>
      <c r="U381" s="40"/>
      <c r="V381" s="48"/>
      <c r="W381" s="48"/>
      <c r="X381" s="48"/>
      <c r="Y381" s="48"/>
      <c r="Z381" s="48"/>
      <c r="AA381" s="48"/>
      <c r="AB381" s="48"/>
      <c r="AC381" s="48"/>
      <c r="AD381" s="35"/>
      <c r="AE381" s="48"/>
      <c r="AF381" s="48"/>
      <c r="AG381" s="48"/>
      <c r="AH381" s="48"/>
      <c r="AI381" s="49"/>
    </row>
    <row r="382" spans="1:35" x14ac:dyDescent="0.25">
      <c r="A382" s="48">
        <v>46</v>
      </c>
      <c r="B382" s="166" t="s">
        <v>748</v>
      </c>
      <c r="C382" s="166" t="s">
        <v>747</v>
      </c>
      <c r="D382" s="138">
        <f t="shared" si="18"/>
        <v>0</v>
      </c>
      <c r="E382" s="48"/>
      <c r="F382" s="48"/>
      <c r="G382" s="35"/>
      <c r="H382" s="35"/>
      <c r="I382" s="35"/>
      <c r="J382" s="35"/>
      <c r="K382" s="35"/>
      <c r="L382" s="35"/>
      <c r="M382" s="48"/>
      <c r="N382" s="48"/>
      <c r="O382" s="48"/>
      <c r="P382" s="48"/>
      <c r="Q382" s="137"/>
      <c r="R382" s="40"/>
      <c r="S382" s="40"/>
      <c r="T382" s="40"/>
      <c r="U382" s="40"/>
      <c r="V382" s="48"/>
      <c r="W382" s="48"/>
      <c r="X382" s="48"/>
      <c r="Y382" s="48"/>
      <c r="Z382" s="48"/>
      <c r="AA382" s="48"/>
      <c r="AB382" s="48"/>
      <c r="AC382" s="48"/>
      <c r="AD382" s="137"/>
      <c r="AE382" s="48"/>
      <c r="AF382" s="48"/>
      <c r="AG382" s="48"/>
      <c r="AH382" s="48"/>
      <c r="AI382" s="49"/>
    </row>
    <row r="383" spans="1:35" s="37" customFormat="1" x14ac:dyDescent="0.25">
      <c r="A383" s="48">
        <v>47</v>
      </c>
      <c r="B383" s="166" t="s">
        <v>340</v>
      </c>
      <c r="C383" s="166" t="s">
        <v>339</v>
      </c>
      <c r="D383" s="138">
        <f t="shared" si="18"/>
        <v>200000</v>
      </c>
      <c r="E383" s="166"/>
      <c r="F383" s="48"/>
      <c r="G383" s="35"/>
      <c r="H383" s="35"/>
      <c r="I383" s="35"/>
      <c r="J383" s="35"/>
      <c r="K383" s="35">
        <f>1191*42</f>
        <v>50022</v>
      </c>
      <c r="L383" s="35">
        <f>30450+19528</f>
        <v>49978</v>
      </c>
      <c r="M383" s="48"/>
      <c r="N383" s="48"/>
      <c r="O383" s="48">
        <f>410*42+32760</f>
        <v>49980</v>
      </c>
      <c r="P383" s="48">
        <f>477*42</f>
        <v>20034</v>
      </c>
      <c r="Q383" s="137">
        <f>445*42+80*42+7900</f>
        <v>29950</v>
      </c>
      <c r="R383" s="40"/>
      <c r="S383" s="40"/>
      <c r="T383" s="40"/>
      <c r="U383" s="40"/>
      <c r="V383" s="48"/>
      <c r="W383" s="48"/>
      <c r="X383" s="48"/>
      <c r="Y383" s="48"/>
      <c r="Z383" s="48"/>
      <c r="AA383" s="48">
        <v>36</v>
      </c>
      <c r="AB383" s="48"/>
      <c r="AC383" s="48"/>
      <c r="AD383" s="137"/>
      <c r="AE383" s="48"/>
      <c r="AF383" s="48"/>
      <c r="AG383" s="48"/>
      <c r="AH383" s="48"/>
      <c r="AI383" s="49"/>
    </row>
    <row r="384" spans="1:35" s="37" customFormat="1" ht="15.75" x14ac:dyDescent="0.25">
      <c r="A384" s="48">
        <v>48</v>
      </c>
      <c r="B384" s="166" t="s">
        <v>696</v>
      </c>
      <c r="C384" s="166" t="s">
        <v>695</v>
      </c>
      <c r="D384" s="138">
        <f t="shared" si="18"/>
        <v>0</v>
      </c>
      <c r="E384" s="48"/>
      <c r="F384" s="48"/>
      <c r="G384" s="35"/>
      <c r="H384" s="35"/>
      <c r="I384" s="35"/>
      <c r="J384" s="35"/>
      <c r="K384" s="35"/>
      <c r="L384" s="35"/>
      <c r="M384" s="48"/>
      <c r="N384" s="48"/>
      <c r="O384" s="48"/>
      <c r="P384" s="48"/>
      <c r="Q384" s="147"/>
      <c r="R384" s="40"/>
      <c r="S384" s="40"/>
      <c r="T384" s="40"/>
      <c r="U384" s="40"/>
      <c r="V384" s="48"/>
      <c r="W384" s="48"/>
      <c r="X384" s="48"/>
      <c r="Y384" s="48"/>
      <c r="Z384" s="48"/>
      <c r="AA384" s="48"/>
      <c r="AB384" s="48"/>
      <c r="AC384" s="48"/>
      <c r="AD384" s="137"/>
      <c r="AE384" s="48"/>
      <c r="AF384" s="48"/>
      <c r="AG384" s="48"/>
      <c r="AH384" s="48"/>
      <c r="AI384" s="49"/>
    </row>
    <row r="385" spans="1:35" x14ac:dyDescent="0.25">
      <c r="A385" s="48">
        <v>49</v>
      </c>
      <c r="B385" s="176" t="s">
        <v>1020</v>
      </c>
      <c r="C385" s="176" t="s">
        <v>1019</v>
      </c>
      <c r="D385" s="138">
        <f t="shared" si="18"/>
        <v>9460</v>
      </c>
      <c r="E385" s="48"/>
      <c r="F385" s="48"/>
      <c r="G385" s="35"/>
      <c r="H385" s="35"/>
      <c r="I385" s="35"/>
      <c r="J385" s="35"/>
      <c r="K385" s="35"/>
      <c r="L385" s="35"/>
      <c r="M385" s="48">
        <v>1960</v>
      </c>
      <c r="N385" s="48"/>
      <c r="O385" s="48"/>
      <c r="P385" s="48"/>
      <c r="Q385" s="35"/>
      <c r="R385" s="40"/>
      <c r="S385" s="40"/>
      <c r="T385" s="40"/>
      <c r="U385" s="40"/>
      <c r="V385" s="48"/>
      <c r="W385" s="48"/>
      <c r="X385" s="48"/>
      <c r="Y385" s="48"/>
      <c r="Z385" s="48"/>
      <c r="AA385" s="48"/>
      <c r="AB385" s="48"/>
      <c r="AC385" s="48"/>
      <c r="AD385" s="35"/>
      <c r="AE385" s="48"/>
      <c r="AF385" s="48"/>
      <c r="AG385" s="48"/>
      <c r="AH385" s="48">
        <f>179*42-18</f>
        <v>7500</v>
      </c>
      <c r="AI385" s="49"/>
    </row>
    <row r="386" spans="1:35" x14ac:dyDescent="0.25">
      <c r="A386" s="48">
        <v>50</v>
      </c>
      <c r="B386" s="176" t="s">
        <v>1022</v>
      </c>
      <c r="C386" s="176" t="s">
        <v>1021</v>
      </c>
      <c r="D386" s="138">
        <f t="shared" si="18"/>
        <v>1410</v>
      </c>
      <c r="E386" s="48"/>
      <c r="F386" s="48"/>
      <c r="G386" s="35"/>
      <c r="H386" s="35"/>
      <c r="I386" s="35"/>
      <c r="J386" s="35"/>
      <c r="K386" s="35"/>
      <c r="L386" s="35"/>
      <c r="M386" s="48"/>
      <c r="N386" s="48"/>
      <c r="O386" s="48"/>
      <c r="P386" s="48"/>
      <c r="Q386" s="35"/>
      <c r="R386" s="40"/>
      <c r="S386" s="40"/>
      <c r="T386" s="40"/>
      <c r="U386" s="40">
        <v>1410</v>
      </c>
      <c r="V386" s="48"/>
      <c r="W386" s="48"/>
      <c r="X386" s="48"/>
      <c r="Y386" s="48"/>
      <c r="Z386" s="48"/>
      <c r="AA386" s="48"/>
      <c r="AB386" s="48"/>
      <c r="AC386" s="48"/>
      <c r="AD386" s="35"/>
      <c r="AE386" s="48"/>
      <c r="AF386" s="48"/>
      <c r="AG386" s="48"/>
      <c r="AH386" s="48"/>
      <c r="AI386" s="49"/>
    </row>
    <row r="387" spans="1:35" x14ac:dyDescent="0.25">
      <c r="A387" s="48">
        <v>51</v>
      </c>
      <c r="B387" s="166" t="s">
        <v>699</v>
      </c>
      <c r="C387" s="166" t="s">
        <v>697</v>
      </c>
      <c r="D387" s="138">
        <f t="shared" si="18"/>
        <v>0</v>
      </c>
      <c r="E387" s="48"/>
      <c r="F387" s="48"/>
      <c r="G387" s="35"/>
      <c r="H387" s="35"/>
      <c r="I387" s="35"/>
      <c r="J387" s="35"/>
      <c r="K387" s="35"/>
      <c r="L387" s="35"/>
      <c r="M387" s="48"/>
      <c r="N387" s="48"/>
      <c r="O387" s="48"/>
      <c r="P387" s="48"/>
      <c r="Q387" s="35"/>
      <c r="R387" s="40"/>
      <c r="S387" s="40"/>
      <c r="T387" s="40"/>
      <c r="U387" s="40"/>
      <c r="V387" s="48"/>
      <c r="W387" s="48"/>
      <c r="X387" s="48"/>
      <c r="Y387" s="48"/>
      <c r="Z387" s="48"/>
      <c r="AA387" s="48"/>
      <c r="AB387" s="48"/>
      <c r="AC387" s="48"/>
      <c r="AD387" s="35"/>
      <c r="AE387" s="48"/>
      <c r="AF387" s="48"/>
      <c r="AG387" s="48"/>
      <c r="AH387" s="48"/>
      <c r="AI387" s="49"/>
    </row>
    <row r="388" spans="1:35" x14ac:dyDescent="0.25">
      <c r="A388" s="48">
        <v>52</v>
      </c>
      <c r="B388" s="166" t="s">
        <v>700</v>
      </c>
      <c r="C388" s="166" t="s">
        <v>698</v>
      </c>
      <c r="D388" s="138">
        <f t="shared" si="18"/>
        <v>0</v>
      </c>
      <c r="E388" s="48"/>
      <c r="F388" s="48"/>
      <c r="G388" s="35"/>
      <c r="H388" s="35"/>
      <c r="I388" s="35"/>
      <c r="J388" s="35"/>
      <c r="K388" s="35"/>
      <c r="L388" s="35"/>
      <c r="M388" s="48"/>
      <c r="N388" s="48"/>
      <c r="O388" s="48"/>
      <c r="P388" s="48"/>
      <c r="Q388" s="35"/>
      <c r="R388" s="40"/>
      <c r="S388" s="40"/>
      <c r="T388" s="40"/>
      <c r="U388" s="40"/>
      <c r="V388" s="48"/>
      <c r="W388" s="48"/>
      <c r="X388" s="48"/>
      <c r="Y388" s="48"/>
      <c r="Z388" s="48"/>
      <c r="AA388" s="48"/>
      <c r="AB388" s="48"/>
      <c r="AC388" s="48"/>
      <c r="AD388" s="35"/>
      <c r="AE388" s="48"/>
      <c r="AF388" s="48"/>
      <c r="AG388" s="48"/>
      <c r="AH388" s="48"/>
      <c r="AI388" s="49"/>
    </row>
    <row r="389" spans="1:35" x14ac:dyDescent="0.25">
      <c r="A389" s="48">
        <v>53</v>
      </c>
      <c r="B389" s="166" t="s">
        <v>703</v>
      </c>
      <c r="C389" s="166" t="s">
        <v>701</v>
      </c>
      <c r="D389" s="138">
        <f t="shared" si="18"/>
        <v>0</v>
      </c>
      <c r="E389" s="48"/>
      <c r="F389" s="48"/>
      <c r="G389" s="35"/>
      <c r="H389" s="35"/>
      <c r="I389" s="35"/>
      <c r="J389" s="35"/>
      <c r="K389" s="35"/>
      <c r="L389" s="35"/>
      <c r="M389" s="48"/>
      <c r="N389" s="48"/>
      <c r="O389" s="48"/>
      <c r="P389" s="48"/>
      <c r="Q389" s="35"/>
      <c r="R389" s="40"/>
      <c r="S389" s="40"/>
      <c r="T389" s="40"/>
      <c r="U389" s="40"/>
      <c r="V389" s="48"/>
      <c r="W389" s="48"/>
      <c r="X389" s="48"/>
      <c r="Y389" s="48"/>
      <c r="Z389" s="48"/>
      <c r="AA389" s="48"/>
      <c r="AB389" s="48"/>
      <c r="AC389" s="48"/>
      <c r="AD389" s="35"/>
      <c r="AE389" s="48"/>
      <c r="AF389" s="48"/>
      <c r="AG389" s="48"/>
      <c r="AH389" s="48"/>
      <c r="AI389" s="49"/>
    </row>
    <row r="390" spans="1:35" x14ac:dyDescent="0.25">
      <c r="A390" s="48">
        <v>54</v>
      </c>
      <c r="B390" s="166" t="s">
        <v>704</v>
      </c>
      <c r="C390" s="166" t="s">
        <v>702</v>
      </c>
      <c r="D390" s="138">
        <f t="shared" si="18"/>
        <v>4340</v>
      </c>
      <c r="E390" s="48"/>
      <c r="F390" s="48"/>
      <c r="G390" s="35"/>
      <c r="H390" s="35"/>
      <c r="I390" s="35"/>
      <c r="J390" s="35"/>
      <c r="K390" s="35"/>
      <c r="L390" s="35"/>
      <c r="M390" s="48"/>
      <c r="N390" s="48"/>
      <c r="O390" s="48"/>
      <c r="P390" s="48"/>
      <c r="Q390" s="35"/>
      <c r="R390" s="40"/>
      <c r="S390" s="40"/>
      <c r="T390" s="40"/>
      <c r="U390" s="40"/>
      <c r="V390" s="48"/>
      <c r="W390" s="48"/>
      <c r="X390" s="48"/>
      <c r="Y390" s="48"/>
      <c r="Z390" s="48"/>
      <c r="AA390" s="48"/>
      <c r="AB390" s="48"/>
      <c r="AC390" s="48"/>
      <c r="AD390" s="35"/>
      <c r="AE390" s="48"/>
      <c r="AF390" s="48">
        <f>170*15</f>
        <v>2550</v>
      </c>
      <c r="AG390" s="48">
        <v>1785</v>
      </c>
      <c r="AH390" s="48">
        <v>5</v>
      </c>
      <c r="AI390" s="49"/>
    </row>
    <row r="391" spans="1:35" x14ac:dyDescent="0.25">
      <c r="A391" s="48">
        <v>55</v>
      </c>
      <c r="B391" s="166" t="s">
        <v>707</v>
      </c>
      <c r="C391" s="166" t="s">
        <v>705</v>
      </c>
      <c r="D391" s="138">
        <f t="shared" si="18"/>
        <v>0</v>
      </c>
      <c r="E391" s="48"/>
      <c r="F391" s="48"/>
      <c r="G391" s="35"/>
      <c r="H391" s="35"/>
      <c r="I391" s="35"/>
      <c r="J391" s="35"/>
      <c r="K391" s="35"/>
      <c r="L391" s="35"/>
      <c r="M391" s="48"/>
      <c r="N391" s="48"/>
      <c r="O391" s="48"/>
      <c r="P391" s="48"/>
      <c r="Q391" s="35"/>
      <c r="R391" s="40"/>
      <c r="S391" s="40"/>
      <c r="T391" s="40"/>
      <c r="U391" s="40"/>
      <c r="V391" s="48"/>
      <c r="W391" s="48"/>
      <c r="X391" s="48"/>
      <c r="Y391" s="48"/>
      <c r="Z391" s="48"/>
      <c r="AA391" s="48"/>
      <c r="AB391" s="48"/>
      <c r="AC391" s="48"/>
      <c r="AD391" s="35"/>
      <c r="AE391" s="48"/>
      <c r="AF391" s="48"/>
      <c r="AG391" s="48"/>
      <c r="AH391" s="48"/>
      <c r="AI391" s="49"/>
    </row>
    <row r="392" spans="1:35" x14ac:dyDescent="0.25">
      <c r="A392" s="48">
        <v>56</v>
      </c>
      <c r="B392" s="166" t="s">
        <v>708</v>
      </c>
      <c r="C392" s="166" t="s">
        <v>706</v>
      </c>
      <c r="D392" s="138">
        <f t="shared" si="18"/>
        <v>3000</v>
      </c>
      <c r="E392" s="48"/>
      <c r="F392" s="48"/>
      <c r="G392" s="35"/>
      <c r="H392" s="35"/>
      <c r="I392" s="35"/>
      <c r="J392" s="35"/>
      <c r="K392" s="35"/>
      <c r="L392" s="35"/>
      <c r="M392" s="48"/>
      <c r="N392" s="48"/>
      <c r="O392" s="48"/>
      <c r="P392" s="48"/>
      <c r="Q392" s="35"/>
      <c r="R392" s="40"/>
      <c r="S392" s="40"/>
      <c r="T392" s="40"/>
      <c r="U392" s="40"/>
      <c r="V392" s="48"/>
      <c r="W392" s="48"/>
      <c r="X392" s="48"/>
      <c r="Y392" s="48"/>
      <c r="Z392" s="48"/>
      <c r="AA392" s="48"/>
      <c r="AB392" s="48"/>
      <c r="AC392" s="48"/>
      <c r="AD392" s="35"/>
      <c r="AE392" s="48"/>
      <c r="AF392" s="48">
        <f>62*48+24</f>
        <v>3000</v>
      </c>
      <c r="AG392" s="48"/>
      <c r="AH392" s="48"/>
      <c r="AI392" s="49"/>
    </row>
    <row r="393" spans="1:35" x14ac:dyDescent="0.25">
      <c r="A393" s="48">
        <v>57</v>
      </c>
      <c r="B393" s="166" t="s">
        <v>710</v>
      </c>
      <c r="C393" s="166" t="s">
        <v>709</v>
      </c>
      <c r="D393" s="138">
        <f t="shared" si="18"/>
        <v>0</v>
      </c>
      <c r="E393" s="48"/>
      <c r="F393" s="48"/>
      <c r="G393" s="35"/>
      <c r="H393" s="35"/>
      <c r="I393" s="35"/>
      <c r="J393" s="35"/>
      <c r="K393" s="35"/>
      <c r="L393" s="35"/>
      <c r="M393" s="48"/>
      <c r="N393" s="48"/>
      <c r="O393" s="48"/>
      <c r="P393" s="48"/>
      <c r="Q393" s="35"/>
      <c r="R393" s="40"/>
      <c r="S393" s="40"/>
      <c r="T393" s="40"/>
      <c r="U393" s="40"/>
      <c r="V393" s="48"/>
      <c r="W393" s="48"/>
      <c r="X393" s="48"/>
      <c r="Y393" s="48"/>
      <c r="Z393" s="48"/>
      <c r="AA393" s="48"/>
      <c r="AB393" s="48"/>
      <c r="AC393" s="48"/>
      <c r="AD393" s="35"/>
      <c r="AE393" s="48"/>
      <c r="AF393" s="48"/>
      <c r="AG393" s="48"/>
      <c r="AH393" s="48"/>
      <c r="AI393" s="49"/>
    </row>
    <row r="394" spans="1:35" x14ac:dyDescent="0.25">
      <c r="A394" s="48">
        <v>58</v>
      </c>
      <c r="B394" s="166" t="s">
        <v>334</v>
      </c>
      <c r="C394" s="166" t="s">
        <v>525</v>
      </c>
      <c r="D394" s="138">
        <f t="shared" si="18"/>
        <v>15900</v>
      </c>
      <c r="E394" s="48"/>
      <c r="F394" s="48"/>
      <c r="G394" s="35"/>
      <c r="H394" s="35"/>
      <c r="I394" s="35"/>
      <c r="J394" s="35"/>
      <c r="K394" s="35"/>
      <c r="L394" s="35"/>
      <c r="M394" s="48">
        <v>7900</v>
      </c>
      <c r="N394" s="48"/>
      <c r="O394" s="48"/>
      <c r="P394" s="48"/>
      <c r="Q394" s="35"/>
      <c r="R394" s="40"/>
      <c r="S394" s="40"/>
      <c r="T394" s="40"/>
      <c r="U394" s="40"/>
      <c r="V394" s="48"/>
      <c r="W394" s="48"/>
      <c r="X394" s="48"/>
      <c r="Y394" s="48"/>
      <c r="Z394" s="48"/>
      <c r="AA394" s="48"/>
      <c r="AB394" s="48"/>
      <c r="AC394" s="48"/>
      <c r="AD394" s="35">
        <v>8000</v>
      </c>
      <c r="AE394" s="48"/>
      <c r="AF394" s="48"/>
      <c r="AG394" s="48"/>
      <c r="AH394" s="48"/>
      <c r="AI394" s="49"/>
    </row>
    <row r="395" spans="1:35" x14ac:dyDescent="0.25">
      <c r="A395" s="48">
        <v>59</v>
      </c>
      <c r="B395" s="166" t="s">
        <v>712</v>
      </c>
      <c r="C395" s="166" t="s">
        <v>711</v>
      </c>
      <c r="D395" s="138">
        <f t="shared" si="18"/>
        <v>0</v>
      </c>
      <c r="E395" s="48"/>
      <c r="F395" s="48"/>
      <c r="G395" s="35"/>
      <c r="H395" s="35"/>
      <c r="I395" s="35"/>
      <c r="J395" s="35"/>
      <c r="K395" s="35"/>
      <c r="L395" s="35"/>
      <c r="M395" s="48"/>
      <c r="N395" s="48"/>
      <c r="O395" s="48"/>
      <c r="P395" s="48"/>
      <c r="Q395" s="35"/>
      <c r="R395" s="40"/>
      <c r="S395" s="40"/>
      <c r="T395" s="40"/>
      <c r="U395" s="40"/>
      <c r="V395" s="48"/>
      <c r="W395" s="48"/>
      <c r="X395" s="48"/>
      <c r="Y395" s="48"/>
      <c r="Z395" s="48"/>
      <c r="AA395" s="48"/>
      <c r="AB395" s="48"/>
      <c r="AC395" s="48"/>
      <c r="AD395" s="35"/>
      <c r="AE395" s="48"/>
      <c r="AF395" s="48"/>
      <c r="AG395" s="48"/>
      <c r="AH395" s="48"/>
      <c r="AI395" s="49"/>
    </row>
    <row r="396" spans="1:35" x14ac:dyDescent="0.25">
      <c r="A396" s="48">
        <v>60</v>
      </c>
      <c r="B396" s="166" t="s">
        <v>527</v>
      </c>
      <c r="C396" s="166" t="s">
        <v>526</v>
      </c>
      <c r="D396" s="138">
        <f t="shared" si="18"/>
        <v>35000</v>
      </c>
      <c r="E396" s="48"/>
      <c r="F396" s="48"/>
      <c r="G396" s="35"/>
      <c r="H396" s="35"/>
      <c r="I396" s="35"/>
      <c r="J396" s="35"/>
      <c r="K396" s="35"/>
      <c r="L396" s="35"/>
      <c r="M396" s="48"/>
      <c r="N396" s="48"/>
      <c r="O396" s="48"/>
      <c r="P396" s="48"/>
      <c r="Q396" s="35"/>
      <c r="R396" s="40"/>
      <c r="S396" s="40"/>
      <c r="T396" s="40"/>
      <c r="U396" s="40"/>
      <c r="V396" s="48"/>
      <c r="W396" s="48"/>
      <c r="X396" s="48"/>
      <c r="Y396" s="48"/>
      <c r="Z396" s="48"/>
      <c r="AA396" s="48"/>
      <c r="AB396" s="48">
        <f>700*30</f>
        <v>21000</v>
      </c>
      <c r="AC396" s="48"/>
      <c r="AD396" s="35"/>
      <c r="AE396" s="48"/>
      <c r="AF396" s="48"/>
      <c r="AG396" s="48"/>
      <c r="AH396" s="48"/>
      <c r="AI396" s="49">
        <v>14000</v>
      </c>
    </row>
    <row r="397" spans="1:35" x14ac:dyDescent="0.25">
      <c r="A397" s="48">
        <v>61</v>
      </c>
      <c r="B397" s="166" t="s">
        <v>386</v>
      </c>
      <c r="C397" s="166" t="s">
        <v>385</v>
      </c>
      <c r="D397" s="138">
        <f t="shared" si="18"/>
        <v>16000</v>
      </c>
      <c r="E397" s="48"/>
      <c r="F397" s="48"/>
      <c r="G397" s="35"/>
      <c r="H397" s="35"/>
      <c r="I397" s="35"/>
      <c r="J397" s="35"/>
      <c r="K397" s="35"/>
      <c r="L397" s="35"/>
      <c r="M397" s="48"/>
      <c r="N397" s="48"/>
      <c r="O397" s="48"/>
      <c r="P397" s="48"/>
      <c r="Q397" s="35"/>
      <c r="R397" s="40"/>
      <c r="S397" s="40"/>
      <c r="T397" s="40"/>
      <c r="U397" s="40"/>
      <c r="V397" s="48"/>
      <c r="W397" s="48"/>
      <c r="X397" s="48"/>
      <c r="Y397" s="48"/>
      <c r="Z397" s="48">
        <v>5000</v>
      </c>
      <c r="AA397" s="48"/>
      <c r="AB397" s="48"/>
      <c r="AC397" s="48"/>
      <c r="AD397" s="35"/>
      <c r="AE397" s="48"/>
      <c r="AF397" s="48">
        <f>125*48</f>
        <v>6000</v>
      </c>
      <c r="AG397" s="48"/>
      <c r="AH397" s="48"/>
      <c r="AI397" s="49">
        <v>5000</v>
      </c>
    </row>
    <row r="398" spans="1:35" x14ac:dyDescent="0.25">
      <c r="A398" s="48">
        <v>62</v>
      </c>
      <c r="B398" s="166" t="s">
        <v>341</v>
      </c>
      <c r="C398" s="166" t="s">
        <v>387</v>
      </c>
      <c r="D398" s="138">
        <f t="shared" si="18"/>
        <v>7000</v>
      </c>
      <c r="E398" s="48"/>
      <c r="F398" s="48"/>
      <c r="G398" s="35"/>
      <c r="H398" s="35"/>
      <c r="I398" s="35"/>
      <c r="J398" s="35"/>
      <c r="K398" s="35"/>
      <c r="L398" s="35"/>
      <c r="M398" s="48"/>
      <c r="N398" s="48"/>
      <c r="O398" s="48"/>
      <c r="P398" s="48"/>
      <c r="Q398" s="35"/>
      <c r="R398" s="40"/>
      <c r="S398" s="40"/>
      <c r="T398" s="40"/>
      <c r="U398" s="40"/>
      <c r="V398" s="48"/>
      <c r="W398" s="48">
        <f>920*6</f>
        <v>5520</v>
      </c>
      <c r="X398" s="48">
        <v>1476</v>
      </c>
      <c r="Y398" s="48"/>
      <c r="Z398" s="48">
        <v>4</v>
      </c>
      <c r="AA398" s="48"/>
      <c r="AB398" s="48"/>
      <c r="AC398" s="48"/>
      <c r="AD398" s="35"/>
      <c r="AE398" s="48"/>
      <c r="AF398" s="48"/>
      <c r="AG398" s="48"/>
      <c r="AH398" s="48"/>
      <c r="AI398" s="49"/>
    </row>
    <row r="399" spans="1:35" x14ac:dyDescent="0.25">
      <c r="A399" s="48">
        <v>63</v>
      </c>
      <c r="B399" s="166" t="s">
        <v>770</v>
      </c>
      <c r="C399" s="166" t="s">
        <v>769</v>
      </c>
      <c r="D399" s="138">
        <f t="shared" si="18"/>
        <v>2850</v>
      </c>
      <c r="E399" s="48"/>
      <c r="F399" s="48"/>
      <c r="G399" s="35"/>
      <c r="H399" s="35"/>
      <c r="I399" s="35"/>
      <c r="J399" s="35"/>
      <c r="K399" s="35"/>
      <c r="L399" s="35"/>
      <c r="M399" s="48"/>
      <c r="N399" s="48"/>
      <c r="O399" s="48"/>
      <c r="P399" s="48"/>
      <c r="Q399" s="35"/>
      <c r="R399" s="40"/>
      <c r="S399" s="40"/>
      <c r="T399" s="40"/>
      <c r="U399" s="40"/>
      <c r="V399" s="48"/>
      <c r="W399" s="48"/>
      <c r="X399" s="48">
        <f>142*20</f>
        <v>2840</v>
      </c>
      <c r="Y399" s="48"/>
      <c r="Z399" s="48"/>
      <c r="AA399" s="48"/>
      <c r="AB399" s="48">
        <v>10</v>
      </c>
      <c r="AC399" s="48"/>
      <c r="AD399" s="35"/>
      <c r="AE399" s="48"/>
      <c r="AF399" s="48"/>
      <c r="AG399" s="48"/>
      <c r="AH399" s="48"/>
      <c r="AI399" s="49"/>
    </row>
    <row r="400" spans="1:35" x14ac:dyDescent="0.25">
      <c r="A400" s="48">
        <v>64</v>
      </c>
      <c r="B400" s="166" t="s">
        <v>772</v>
      </c>
      <c r="C400" s="166" t="s">
        <v>771</v>
      </c>
      <c r="D400" s="138">
        <f t="shared" si="18"/>
        <v>0</v>
      </c>
      <c r="E400" s="48"/>
      <c r="F400" s="48"/>
      <c r="G400" s="35"/>
      <c r="H400" s="35"/>
      <c r="I400" s="35"/>
      <c r="J400" s="35"/>
      <c r="K400" s="35"/>
      <c r="L400" s="35"/>
      <c r="M400" s="48"/>
      <c r="N400" s="48"/>
      <c r="O400" s="48"/>
      <c r="P400" s="48"/>
      <c r="Q400" s="35"/>
      <c r="R400" s="40"/>
      <c r="S400" s="40"/>
      <c r="T400" s="40"/>
      <c r="U400" s="40"/>
      <c r="V400" s="48"/>
      <c r="W400" s="48"/>
      <c r="X400" s="48"/>
      <c r="Y400" s="48"/>
      <c r="Z400" s="48"/>
      <c r="AA400" s="48"/>
      <c r="AB400" s="48"/>
      <c r="AC400" s="48"/>
      <c r="AD400" s="35"/>
      <c r="AE400" s="48"/>
      <c r="AF400" s="48"/>
      <c r="AG400" s="48"/>
      <c r="AH400" s="48"/>
      <c r="AI400" s="49"/>
    </row>
    <row r="401" spans="1:35" x14ac:dyDescent="0.25">
      <c r="A401" s="48">
        <v>65</v>
      </c>
      <c r="B401" s="166" t="s">
        <v>352</v>
      </c>
      <c r="C401" s="166" t="s">
        <v>353</v>
      </c>
      <c r="D401" s="138">
        <f t="shared" ref="D401:D432" si="19">SUM(E401:AI401)</f>
        <v>0</v>
      </c>
      <c r="E401" s="48"/>
      <c r="F401" s="48"/>
      <c r="G401" s="35"/>
      <c r="H401" s="35"/>
      <c r="I401" s="35"/>
      <c r="J401" s="35"/>
      <c r="K401" s="35"/>
      <c r="L401" s="35"/>
      <c r="M401" s="48"/>
      <c r="N401" s="48"/>
      <c r="O401" s="48"/>
      <c r="P401" s="48"/>
      <c r="Q401" s="35"/>
      <c r="R401" s="40"/>
      <c r="S401" s="40"/>
      <c r="T401" s="40"/>
      <c r="U401" s="40"/>
      <c r="V401" s="48"/>
      <c r="W401" s="48"/>
      <c r="X401" s="48"/>
      <c r="Y401" s="48"/>
      <c r="Z401" s="48"/>
      <c r="AA401" s="48"/>
      <c r="AB401" s="48"/>
      <c r="AC401" s="48"/>
      <c r="AD401" s="35"/>
      <c r="AE401" s="48"/>
      <c r="AF401" s="48"/>
      <c r="AG401" s="48"/>
      <c r="AH401" s="48"/>
      <c r="AI401" s="49"/>
    </row>
    <row r="402" spans="1:35" x14ac:dyDescent="0.25">
      <c r="A402" s="48">
        <v>66</v>
      </c>
      <c r="B402" s="166" t="s">
        <v>378</v>
      </c>
      <c r="C402" s="166" t="s">
        <v>377</v>
      </c>
      <c r="D402" s="138">
        <f t="shared" si="19"/>
        <v>0</v>
      </c>
      <c r="E402" s="48"/>
      <c r="F402" s="48"/>
      <c r="G402" s="35"/>
      <c r="H402" s="35"/>
      <c r="I402" s="35"/>
      <c r="J402" s="35"/>
      <c r="K402" s="35"/>
      <c r="L402" s="35"/>
      <c r="M402" s="48"/>
      <c r="N402" s="48"/>
      <c r="O402" s="48"/>
      <c r="P402" s="48"/>
      <c r="Q402" s="35"/>
      <c r="R402" s="40"/>
      <c r="S402" s="40"/>
      <c r="T402" s="40"/>
      <c r="U402" s="40"/>
      <c r="V402" s="48"/>
      <c r="W402" s="48"/>
      <c r="X402" s="48"/>
      <c r="Y402" s="48"/>
      <c r="Z402" s="48"/>
      <c r="AA402" s="48"/>
      <c r="AB402" s="48"/>
      <c r="AC402" s="48"/>
      <c r="AD402" s="35"/>
      <c r="AE402" s="48"/>
      <c r="AF402" s="48"/>
      <c r="AG402" s="48"/>
      <c r="AH402" s="48"/>
      <c r="AI402" s="49"/>
    </row>
    <row r="403" spans="1:35" x14ac:dyDescent="0.25">
      <c r="A403" s="48">
        <v>67</v>
      </c>
      <c r="B403" s="166" t="s">
        <v>379</v>
      </c>
      <c r="C403" s="166" t="s">
        <v>382</v>
      </c>
      <c r="D403" s="138">
        <f t="shared" si="19"/>
        <v>0</v>
      </c>
      <c r="E403" s="48"/>
      <c r="F403" s="48"/>
      <c r="G403" s="35"/>
      <c r="H403" s="35"/>
      <c r="I403" s="35"/>
      <c r="J403" s="35"/>
      <c r="K403" s="35"/>
      <c r="L403" s="35"/>
      <c r="M403" s="48"/>
      <c r="N403" s="48"/>
      <c r="O403" s="48"/>
      <c r="P403" s="48"/>
      <c r="Q403" s="35"/>
      <c r="R403" s="40"/>
      <c r="S403" s="40"/>
      <c r="T403" s="40"/>
      <c r="U403" s="40"/>
      <c r="V403" s="48"/>
      <c r="W403" s="48"/>
      <c r="X403" s="48"/>
      <c r="Y403" s="48"/>
      <c r="Z403" s="48"/>
      <c r="AA403" s="48"/>
      <c r="AB403" s="48"/>
      <c r="AC403" s="48"/>
      <c r="AD403" s="35"/>
      <c r="AE403" s="48"/>
      <c r="AF403" s="48"/>
      <c r="AG403" s="48"/>
      <c r="AH403" s="48"/>
      <c r="AI403" s="49"/>
    </row>
    <row r="404" spans="1:35" x14ac:dyDescent="0.25">
      <c r="A404" s="48">
        <v>68</v>
      </c>
      <c r="B404" s="166" t="s">
        <v>380</v>
      </c>
      <c r="C404" s="166" t="s">
        <v>383</v>
      </c>
      <c r="D404" s="138">
        <f t="shared" si="19"/>
        <v>250</v>
      </c>
      <c r="E404" s="48"/>
      <c r="F404" s="48"/>
      <c r="G404" s="35"/>
      <c r="H404" s="35"/>
      <c r="I404" s="35"/>
      <c r="J404" s="35"/>
      <c r="K404" s="35">
        <v>250</v>
      </c>
      <c r="L404" s="35"/>
      <c r="M404" s="48"/>
      <c r="N404" s="48"/>
      <c r="O404" s="48"/>
      <c r="P404" s="48"/>
      <c r="Q404" s="35"/>
      <c r="R404" s="40"/>
      <c r="S404" s="40"/>
      <c r="T404" s="40"/>
      <c r="U404" s="40"/>
      <c r="V404" s="48"/>
      <c r="W404" s="48"/>
      <c r="X404" s="48"/>
      <c r="Y404" s="48"/>
      <c r="Z404" s="48"/>
      <c r="AA404" s="48"/>
      <c r="AB404" s="48"/>
      <c r="AC404" s="48"/>
      <c r="AD404" s="35"/>
      <c r="AE404" s="48"/>
      <c r="AF404" s="48"/>
      <c r="AG404" s="48"/>
      <c r="AH404" s="48"/>
      <c r="AI404" s="49"/>
    </row>
    <row r="405" spans="1:35" x14ac:dyDescent="0.25">
      <c r="A405" s="48">
        <v>69</v>
      </c>
      <c r="B405" s="166" t="s">
        <v>381</v>
      </c>
      <c r="C405" s="166" t="s">
        <v>384</v>
      </c>
      <c r="D405" s="138">
        <f t="shared" si="19"/>
        <v>4972</v>
      </c>
      <c r="E405" s="48"/>
      <c r="F405" s="48"/>
      <c r="G405" s="35"/>
      <c r="H405" s="35"/>
      <c r="I405" s="35"/>
      <c r="J405" s="35"/>
      <c r="K405" s="35"/>
      <c r="L405" s="35"/>
      <c r="M405" s="48"/>
      <c r="N405" s="48"/>
      <c r="O405" s="48"/>
      <c r="P405" s="48"/>
      <c r="Q405" s="35"/>
      <c r="R405" s="40"/>
      <c r="S405" s="40"/>
      <c r="T405" s="40"/>
      <c r="U405" s="40"/>
      <c r="V405" s="48">
        <f>60*2+1420*2</f>
        <v>2960</v>
      </c>
      <c r="W405" s="48">
        <f>457*2+546*2+2</f>
        <v>2008</v>
      </c>
      <c r="X405" s="48"/>
      <c r="Y405" s="48"/>
      <c r="Z405" s="48"/>
      <c r="AA405" s="48"/>
      <c r="AB405" s="48"/>
      <c r="AC405" s="48">
        <v>4</v>
      </c>
      <c r="AD405" s="35"/>
      <c r="AE405" s="48"/>
      <c r="AF405" s="48"/>
      <c r="AG405" s="48"/>
      <c r="AH405" s="48"/>
      <c r="AI405" s="49"/>
    </row>
    <row r="406" spans="1:35" x14ac:dyDescent="0.25">
      <c r="A406" s="48">
        <v>70</v>
      </c>
      <c r="B406" s="166" t="s">
        <v>341</v>
      </c>
      <c r="C406" s="166" t="s">
        <v>833</v>
      </c>
      <c r="D406" s="138">
        <f t="shared" si="19"/>
        <v>11000</v>
      </c>
      <c r="E406" s="48"/>
      <c r="F406" s="48"/>
      <c r="G406" s="35"/>
      <c r="H406" s="35"/>
      <c r="I406" s="35"/>
      <c r="J406" s="35"/>
      <c r="K406" s="35"/>
      <c r="L406" s="48">
        <v>6660</v>
      </c>
      <c r="M406" s="48">
        <f>600*6+123*6</f>
        <v>4338</v>
      </c>
      <c r="N406" s="48">
        <v>2</v>
      </c>
      <c r="O406" s="48"/>
      <c r="P406" s="48"/>
      <c r="Q406" s="35"/>
      <c r="R406" s="40"/>
      <c r="S406" s="40"/>
      <c r="T406" s="40"/>
      <c r="U406" s="40"/>
      <c r="V406" s="48"/>
      <c r="W406" s="48"/>
      <c r="X406" s="48"/>
      <c r="Y406" s="48"/>
      <c r="Z406" s="48"/>
      <c r="AA406" s="48"/>
      <c r="AB406" s="48"/>
      <c r="AC406" s="48"/>
      <c r="AD406" s="35"/>
      <c r="AE406" s="48"/>
      <c r="AF406" s="48"/>
      <c r="AG406" s="48"/>
      <c r="AH406" s="48"/>
      <c r="AI406" s="49"/>
    </row>
    <row r="407" spans="1:35" x14ac:dyDescent="0.25">
      <c r="A407" s="48">
        <v>71</v>
      </c>
      <c r="B407" s="166" t="s">
        <v>835</v>
      </c>
      <c r="C407" s="166" t="s">
        <v>834</v>
      </c>
      <c r="D407" s="138">
        <f t="shared" si="19"/>
        <v>798</v>
      </c>
      <c r="E407" s="48"/>
      <c r="F407" s="48"/>
      <c r="G407" s="35"/>
      <c r="H407" s="35"/>
      <c r="I407" s="35"/>
      <c r="J407" s="35"/>
      <c r="K407" s="35"/>
      <c r="L407" s="35"/>
      <c r="M407" s="48"/>
      <c r="N407" s="48"/>
      <c r="O407" s="48"/>
      <c r="P407" s="48"/>
      <c r="Q407" s="35"/>
      <c r="R407" s="40"/>
      <c r="S407" s="40"/>
      <c r="T407" s="40"/>
      <c r="U407" s="40"/>
      <c r="V407" s="48"/>
      <c r="W407" s="48"/>
      <c r="X407" s="48"/>
      <c r="Y407" s="48"/>
      <c r="Z407" s="48">
        <v>300</v>
      </c>
      <c r="AA407" s="48"/>
      <c r="AB407" s="48"/>
      <c r="AC407" s="48"/>
      <c r="AD407" s="35"/>
      <c r="AE407" s="48"/>
      <c r="AF407" s="48"/>
      <c r="AG407" s="48"/>
      <c r="AH407" s="48">
        <v>498</v>
      </c>
      <c r="AI407" s="49"/>
    </row>
    <row r="408" spans="1:35" x14ac:dyDescent="0.25">
      <c r="A408" s="48">
        <v>72</v>
      </c>
      <c r="B408" s="166" t="s">
        <v>113</v>
      </c>
      <c r="C408" s="166" t="s">
        <v>114</v>
      </c>
      <c r="D408" s="138">
        <f t="shared" si="19"/>
        <v>4500</v>
      </c>
      <c r="E408" s="48"/>
      <c r="F408" s="48"/>
      <c r="G408" s="35"/>
      <c r="H408" s="35"/>
      <c r="I408" s="35"/>
      <c r="J408" s="35"/>
      <c r="K408" s="35"/>
      <c r="L408" s="35"/>
      <c r="M408" s="48"/>
      <c r="N408" s="48"/>
      <c r="O408" s="48"/>
      <c r="P408" s="48"/>
      <c r="Q408" s="35"/>
      <c r="R408" s="40"/>
      <c r="S408" s="40"/>
      <c r="T408" s="40"/>
      <c r="U408" s="40"/>
      <c r="V408" s="48"/>
      <c r="W408" s="48">
        <f>1250*2+1000*2</f>
        <v>4500</v>
      </c>
      <c r="X408" s="48"/>
      <c r="Y408" s="48"/>
      <c r="Z408" s="48"/>
      <c r="AA408" s="48"/>
      <c r="AB408" s="48"/>
      <c r="AC408" s="48"/>
      <c r="AD408" s="35"/>
      <c r="AE408" s="48"/>
      <c r="AF408" s="48"/>
      <c r="AG408" s="48"/>
      <c r="AH408" s="48"/>
      <c r="AI408" s="49"/>
    </row>
    <row r="409" spans="1:35" x14ac:dyDescent="0.25">
      <c r="A409" s="48">
        <v>73</v>
      </c>
      <c r="B409" s="166" t="s">
        <v>778</v>
      </c>
      <c r="C409" s="166" t="s">
        <v>777</v>
      </c>
      <c r="D409" s="138">
        <f t="shared" si="19"/>
        <v>1000</v>
      </c>
      <c r="E409" s="48"/>
      <c r="F409" s="48"/>
      <c r="G409" s="35"/>
      <c r="H409" s="35"/>
      <c r="I409" s="35"/>
      <c r="J409" s="35"/>
      <c r="K409" s="35"/>
      <c r="L409" s="35"/>
      <c r="M409" s="48"/>
      <c r="N409" s="48"/>
      <c r="O409" s="48"/>
      <c r="P409" s="48"/>
      <c r="Q409" s="35"/>
      <c r="R409" s="40"/>
      <c r="S409" s="40"/>
      <c r="T409" s="40"/>
      <c r="U409" s="40"/>
      <c r="V409" s="48"/>
      <c r="W409" s="48"/>
      <c r="X409" s="48"/>
      <c r="Y409" s="48"/>
      <c r="Z409" s="48"/>
      <c r="AA409" s="48"/>
      <c r="AB409" s="48"/>
      <c r="AC409" s="48"/>
      <c r="AD409" s="35"/>
      <c r="AE409" s="48"/>
      <c r="AF409" s="48"/>
      <c r="AG409" s="48">
        <v>1000</v>
      </c>
      <c r="AH409" s="48"/>
      <c r="AI409" s="49"/>
    </row>
    <row r="410" spans="1:35" x14ac:dyDescent="0.25">
      <c r="A410" s="48">
        <v>74</v>
      </c>
      <c r="B410" s="166" t="s">
        <v>780</v>
      </c>
      <c r="C410" s="166" t="s">
        <v>779</v>
      </c>
      <c r="D410" s="138">
        <f t="shared" si="19"/>
        <v>5000</v>
      </c>
      <c r="E410" s="48"/>
      <c r="F410" s="48"/>
      <c r="G410" s="35"/>
      <c r="H410" s="35"/>
      <c r="I410" s="35"/>
      <c r="J410" s="35"/>
      <c r="K410" s="35"/>
      <c r="L410" s="35"/>
      <c r="M410" s="48"/>
      <c r="N410" s="48"/>
      <c r="O410" s="48"/>
      <c r="P410" s="48"/>
      <c r="Q410" s="35"/>
      <c r="R410" s="40"/>
      <c r="S410" s="40"/>
      <c r="T410" s="40"/>
      <c r="U410" s="40"/>
      <c r="V410" s="48"/>
      <c r="W410" s="48"/>
      <c r="X410" s="48"/>
      <c r="Y410" s="48"/>
      <c r="Z410" s="48"/>
      <c r="AA410" s="48"/>
      <c r="AB410" s="48"/>
      <c r="AC410" s="48"/>
      <c r="AD410" s="35"/>
      <c r="AE410" s="48"/>
      <c r="AF410" s="48">
        <v>5000</v>
      </c>
      <c r="AG410" s="48"/>
      <c r="AH410" s="48"/>
      <c r="AI410" s="49"/>
    </row>
    <row r="411" spans="1:35" x14ac:dyDescent="0.25">
      <c r="A411" s="48">
        <v>75</v>
      </c>
      <c r="B411" s="166" t="s">
        <v>782</v>
      </c>
      <c r="C411" s="166" t="s">
        <v>781</v>
      </c>
      <c r="D411" s="138">
        <f t="shared" si="19"/>
        <v>3700</v>
      </c>
      <c r="E411" s="48"/>
      <c r="F411" s="48"/>
      <c r="G411" s="35"/>
      <c r="H411" s="35"/>
      <c r="I411" s="35"/>
      <c r="J411" s="35"/>
      <c r="K411" s="35"/>
      <c r="L411" s="35"/>
      <c r="M411" s="48"/>
      <c r="N411" s="48"/>
      <c r="O411" s="48">
        <v>1200</v>
      </c>
      <c r="P411" s="48"/>
      <c r="Q411" s="35"/>
      <c r="R411" s="40"/>
      <c r="S411" s="40"/>
      <c r="T411" s="40"/>
      <c r="U411" s="40"/>
      <c r="V411" s="48"/>
      <c r="W411" s="48"/>
      <c r="X411" s="48"/>
      <c r="Y411" s="48"/>
      <c r="Z411" s="48"/>
      <c r="AA411" s="48"/>
      <c r="AB411" s="48"/>
      <c r="AC411" s="48"/>
      <c r="AD411" s="35"/>
      <c r="AE411" s="48"/>
      <c r="AF411" s="48"/>
      <c r="AG411" s="48">
        <f>490+2010</f>
        <v>2500</v>
      </c>
      <c r="AH411" s="48"/>
      <c r="AI411" s="49"/>
    </row>
    <row r="412" spans="1:35" x14ac:dyDescent="0.25">
      <c r="A412" s="48">
        <v>76</v>
      </c>
      <c r="B412" s="166" t="s">
        <v>807</v>
      </c>
      <c r="C412" s="166" t="s">
        <v>805</v>
      </c>
      <c r="D412" s="138">
        <f t="shared" si="19"/>
        <v>2900</v>
      </c>
      <c r="E412" s="48"/>
      <c r="F412" s="48"/>
      <c r="G412" s="35"/>
      <c r="H412" s="35"/>
      <c r="I412" s="35"/>
      <c r="J412" s="35"/>
      <c r="K412" s="35"/>
      <c r="L412" s="35"/>
      <c r="M412" s="48"/>
      <c r="N412" s="48"/>
      <c r="O412" s="48"/>
      <c r="P412" s="48"/>
      <c r="Q412" s="35"/>
      <c r="R412" s="40"/>
      <c r="S412" s="40"/>
      <c r="T412" s="40"/>
      <c r="U412" s="40"/>
      <c r="V412" s="48"/>
      <c r="W412" s="48"/>
      <c r="X412" s="48"/>
      <c r="Y412" s="48">
        <v>2700</v>
      </c>
      <c r="Z412" s="48">
        <v>200</v>
      </c>
      <c r="AA412" s="48"/>
      <c r="AB412" s="48"/>
      <c r="AC412" s="48"/>
      <c r="AD412" s="35"/>
      <c r="AE412" s="48"/>
      <c r="AF412" s="48"/>
      <c r="AG412" s="48"/>
      <c r="AH412" s="48"/>
      <c r="AI412" s="49"/>
    </row>
    <row r="413" spans="1:35" x14ac:dyDescent="0.25">
      <c r="A413" s="48">
        <v>77</v>
      </c>
      <c r="B413" s="166" t="s">
        <v>808</v>
      </c>
      <c r="C413" s="166" t="s">
        <v>806</v>
      </c>
      <c r="D413" s="138">
        <f t="shared" si="19"/>
        <v>0</v>
      </c>
      <c r="E413" s="48"/>
      <c r="F413" s="48"/>
      <c r="G413" s="35"/>
      <c r="H413" s="35"/>
      <c r="I413" s="35"/>
      <c r="J413" s="35"/>
      <c r="K413" s="35"/>
      <c r="L413" s="35"/>
      <c r="M413" s="48"/>
      <c r="N413" s="48"/>
      <c r="O413" s="48"/>
      <c r="P413" s="48"/>
      <c r="Q413" s="35"/>
      <c r="R413" s="40"/>
      <c r="S413" s="40"/>
      <c r="T413" s="40"/>
      <c r="U413" s="40"/>
      <c r="V413" s="48"/>
      <c r="W413" s="48"/>
      <c r="X413" s="48"/>
      <c r="Y413" s="48"/>
      <c r="Z413" s="48"/>
      <c r="AA413" s="48"/>
      <c r="AB413" s="48"/>
      <c r="AC413" s="48"/>
      <c r="AD413" s="35"/>
      <c r="AE413" s="48"/>
      <c r="AF413" s="48"/>
      <c r="AG413" s="48"/>
      <c r="AH413" s="48"/>
      <c r="AI413" s="49"/>
    </row>
    <row r="414" spans="1:35" x14ac:dyDescent="0.25">
      <c r="A414" s="48">
        <v>78</v>
      </c>
      <c r="B414" s="166" t="s">
        <v>810</v>
      </c>
      <c r="C414" s="166" t="s">
        <v>809</v>
      </c>
      <c r="D414" s="138">
        <f t="shared" si="19"/>
        <v>500</v>
      </c>
      <c r="E414" s="48"/>
      <c r="F414" s="48"/>
      <c r="G414" s="35"/>
      <c r="H414" s="35"/>
      <c r="I414" s="35">
        <v>480</v>
      </c>
      <c r="J414" s="35"/>
      <c r="K414" s="35">
        <v>20</v>
      </c>
      <c r="L414" s="35"/>
      <c r="M414" s="48"/>
      <c r="N414" s="48"/>
      <c r="O414" s="48"/>
      <c r="P414" s="48"/>
      <c r="Q414" s="35"/>
      <c r="R414" s="40"/>
      <c r="S414" s="40"/>
      <c r="T414" s="40"/>
      <c r="U414" s="40"/>
      <c r="V414" s="48"/>
      <c r="W414" s="48"/>
      <c r="X414" s="48"/>
      <c r="Y414" s="48"/>
      <c r="Z414" s="48"/>
      <c r="AA414" s="48"/>
      <c r="AB414" s="48"/>
      <c r="AC414" s="48"/>
      <c r="AD414" s="35"/>
      <c r="AE414" s="48"/>
      <c r="AF414" s="48"/>
      <c r="AG414" s="48"/>
      <c r="AH414" s="48"/>
      <c r="AI414" s="49"/>
    </row>
    <row r="415" spans="1:35" x14ac:dyDescent="0.25">
      <c r="A415" s="48">
        <v>79</v>
      </c>
      <c r="B415" s="166" t="s">
        <v>343</v>
      </c>
      <c r="C415" s="166" t="s">
        <v>392</v>
      </c>
      <c r="D415" s="138">
        <f t="shared" si="19"/>
        <v>0</v>
      </c>
      <c r="E415" s="48"/>
      <c r="F415" s="48"/>
      <c r="G415" s="35"/>
      <c r="H415" s="35"/>
      <c r="I415" s="35"/>
      <c r="J415" s="35"/>
      <c r="K415" s="35"/>
      <c r="L415" s="35"/>
      <c r="M415" s="48"/>
      <c r="N415" s="48"/>
      <c r="O415" s="48"/>
      <c r="P415" s="48"/>
      <c r="Q415" s="35"/>
      <c r="R415" s="40"/>
      <c r="S415" s="40"/>
      <c r="T415" s="40"/>
      <c r="U415" s="40"/>
      <c r="V415" s="48"/>
      <c r="W415" s="48"/>
      <c r="X415" s="48"/>
      <c r="Y415" s="48"/>
      <c r="Z415" s="48"/>
      <c r="AA415" s="48"/>
      <c r="AB415" s="48"/>
      <c r="AC415" s="48"/>
      <c r="AD415" s="35"/>
      <c r="AE415" s="48"/>
      <c r="AF415" s="48"/>
      <c r="AG415" s="48"/>
      <c r="AH415" s="48"/>
      <c r="AI415" s="49"/>
    </row>
    <row r="416" spans="1:35" x14ac:dyDescent="0.25">
      <c r="A416" s="48">
        <v>80</v>
      </c>
      <c r="B416" s="166" t="s">
        <v>393</v>
      </c>
      <c r="C416" s="166" t="s">
        <v>395</v>
      </c>
      <c r="D416" s="138">
        <f t="shared" si="19"/>
        <v>800</v>
      </c>
      <c r="E416" s="48"/>
      <c r="F416" s="48"/>
      <c r="G416" s="35"/>
      <c r="H416" s="35"/>
      <c r="I416" s="35"/>
      <c r="J416" s="35"/>
      <c r="K416" s="35"/>
      <c r="L416" s="35"/>
      <c r="M416" s="48">
        <v>800</v>
      </c>
      <c r="N416" s="48"/>
      <c r="O416" s="48"/>
      <c r="P416" s="48"/>
      <c r="Q416" s="35"/>
      <c r="R416" s="40"/>
      <c r="S416" s="40"/>
      <c r="T416" s="40"/>
      <c r="U416" s="40"/>
      <c r="V416" s="48"/>
      <c r="W416" s="48"/>
      <c r="X416" s="48"/>
      <c r="Y416" s="48"/>
      <c r="Z416" s="48"/>
      <c r="AA416" s="48"/>
      <c r="AB416" s="48"/>
      <c r="AC416" s="48"/>
      <c r="AD416" s="35"/>
      <c r="AE416" s="48"/>
      <c r="AF416" s="48"/>
      <c r="AG416" s="48"/>
      <c r="AH416" s="48"/>
      <c r="AI416" s="49"/>
    </row>
    <row r="417" spans="1:35" x14ac:dyDescent="0.25">
      <c r="A417" s="48">
        <v>81</v>
      </c>
      <c r="B417" s="166" t="s">
        <v>394</v>
      </c>
      <c r="C417" s="166" t="s">
        <v>396</v>
      </c>
      <c r="D417" s="138">
        <f t="shared" si="19"/>
        <v>0</v>
      </c>
      <c r="E417" s="48"/>
      <c r="F417" s="48"/>
      <c r="G417" s="35"/>
      <c r="H417" s="35"/>
      <c r="I417" s="35"/>
      <c r="J417" s="35"/>
      <c r="K417" s="35"/>
      <c r="L417" s="35"/>
      <c r="M417" s="48"/>
      <c r="N417" s="48"/>
      <c r="O417" s="48"/>
      <c r="P417" s="48"/>
      <c r="Q417" s="35"/>
      <c r="R417" s="40"/>
      <c r="S417" s="40"/>
      <c r="T417" s="40"/>
      <c r="U417" s="40"/>
      <c r="V417" s="48"/>
      <c r="W417" s="48"/>
      <c r="X417" s="48"/>
      <c r="Y417" s="48"/>
      <c r="Z417" s="48"/>
      <c r="AA417" s="48"/>
      <c r="AB417" s="48"/>
      <c r="AC417" s="48"/>
      <c r="AD417" s="35"/>
      <c r="AE417" s="48"/>
      <c r="AF417" s="48"/>
      <c r="AG417" s="48"/>
      <c r="AH417" s="48"/>
      <c r="AI417" s="49"/>
    </row>
    <row r="418" spans="1:35" x14ac:dyDescent="0.25">
      <c r="A418" s="48">
        <v>82</v>
      </c>
      <c r="B418" s="166" t="s">
        <v>658</v>
      </c>
      <c r="C418" s="166" t="s">
        <v>657</v>
      </c>
      <c r="D418" s="138">
        <f t="shared" si="19"/>
        <v>500</v>
      </c>
      <c r="E418" s="48"/>
      <c r="F418" s="48"/>
      <c r="G418" s="35"/>
      <c r="H418" s="35"/>
      <c r="I418" s="35"/>
      <c r="J418" s="35"/>
      <c r="K418" s="35"/>
      <c r="L418" s="35"/>
      <c r="M418" s="48"/>
      <c r="N418" s="48"/>
      <c r="O418" s="48"/>
      <c r="P418" s="48"/>
      <c r="Q418" s="35"/>
      <c r="R418" s="40"/>
      <c r="S418" s="40"/>
      <c r="T418" s="40"/>
      <c r="U418" s="40"/>
      <c r="V418" s="48"/>
      <c r="W418" s="48"/>
      <c r="X418" s="48"/>
      <c r="Y418" s="48">
        <v>500</v>
      </c>
      <c r="Z418" s="48"/>
      <c r="AA418" s="48"/>
      <c r="AB418" s="48"/>
      <c r="AC418" s="48"/>
      <c r="AD418" s="35"/>
      <c r="AE418" s="48"/>
      <c r="AF418" s="48"/>
      <c r="AG418" s="48"/>
      <c r="AH418" s="48"/>
      <c r="AI418" s="49"/>
    </row>
    <row r="419" spans="1:35" x14ac:dyDescent="0.25">
      <c r="A419" s="48">
        <v>83</v>
      </c>
      <c r="B419" s="166" t="s">
        <v>211</v>
      </c>
      <c r="C419" s="166" t="s">
        <v>213</v>
      </c>
      <c r="D419" s="138">
        <f t="shared" si="19"/>
        <v>0</v>
      </c>
      <c r="E419" s="48"/>
      <c r="F419" s="48"/>
      <c r="G419" s="35"/>
      <c r="H419" s="35"/>
      <c r="I419" s="35"/>
      <c r="J419" s="35"/>
      <c r="K419" s="35"/>
      <c r="L419" s="35"/>
      <c r="M419" s="48"/>
      <c r="N419" s="48"/>
      <c r="O419" s="48"/>
      <c r="P419" s="48"/>
      <c r="Q419" s="35"/>
      <c r="R419" s="40"/>
      <c r="S419" s="40"/>
      <c r="T419" s="40"/>
      <c r="U419" s="40"/>
      <c r="V419" s="48"/>
      <c r="W419" s="48"/>
      <c r="X419" s="48"/>
      <c r="Y419" s="48"/>
      <c r="Z419" s="48"/>
      <c r="AA419" s="48"/>
      <c r="AB419" s="48"/>
      <c r="AC419" s="48"/>
      <c r="AD419" s="35"/>
      <c r="AE419" s="48"/>
      <c r="AF419" s="48"/>
      <c r="AG419" s="48"/>
      <c r="AH419" s="48"/>
      <c r="AI419" s="49"/>
    </row>
    <row r="420" spans="1:35" x14ac:dyDescent="0.25">
      <c r="A420" s="48">
        <v>84</v>
      </c>
      <c r="B420" s="166" t="s">
        <v>212</v>
      </c>
      <c r="C420" s="166" t="s">
        <v>214</v>
      </c>
      <c r="D420" s="138">
        <f t="shared" si="19"/>
        <v>0</v>
      </c>
      <c r="E420" s="48"/>
      <c r="F420" s="48"/>
      <c r="G420" s="35"/>
      <c r="H420" s="35"/>
      <c r="I420" s="35"/>
      <c r="J420" s="35"/>
      <c r="K420" s="35"/>
      <c r="L420" s="35"/>
      <c r="M420" s="48"/>
      <c r="N420" s="48"/>
      <c r="O420" s="48"/>
      <c r="P420" s="48"/>
      <c r="Q420" s="35"/>
      <c r="R420" s="40"/>
      <c r="S420" s="40"/>
      <c r="T420" s="40"/>
      <c r="U420" s="40"/>
      <c r="V420" s="48"/>
      <c r="W420" s="48"/>
      <c r="X420" s="48"/>
      <c r="Y420" s="48"/>
      <c r="Z420" s="48"/>
      <c r="AA420" s="48"/>
      <c r="AB420" s="48"/>
      <c r="AC420" s="48"/>
      <c r="AD420" s="35"/>
      <c r="AE420" s="48"/>
      <c r="AF420" s="48"/>
      <c r="AG420" s="48"/>
      <c r="AH420" s="48"/>
      <c r="AI420" s="49"/>
    </row>
    <row r="421" spans="1:35" x14ac:dyDescent="0.25">
      <c r="A421" s="48">
        <v>85</v>
      </c>
      <c r="B421" s="166" t="s">
        <v>373</v>
      </c>
      <c r="C421" s="166" t="s">
        <v>371</v>
      </c>
      <c r="D421" s="138">
        <f t="shared" si="19"/>
        <v>1200</v>
      </c>
      <c r="E421" s="48"/>
      <c r="F421" s="48"/>
      <c r="G421" s="35"/>
      <c r="H421" s="35"/>
      <c r="I421" s="35"/>
      <c r="J421" s="35"/>
      <c r="K421" s="35"/>
      <c r="L421" s="35"/>
      <c r="M421" s="48"/>
      <c r="N421" s="48"/>
      <c r="O421" s="48"/>
      <c r="P421" s="48"/>
      <c r="Q421" s="35"/>
      <c r="R421" s="40"/>
      <c r="S421" s="40"/>
      <c r="T421" s="40"/>
      <c r="U421" s="40"/>
      <c r="V421" s="48"/>
      <c r="W421" s="48"/>
      <c r="X421" s="48"/>
      <c r="Y421" s="48"/>
      <c r="Z421" s="48"/>
      <c r="AA421" s="48"/>
      <c r="AB421" s="48">
        <v>1200</v>
      </c>
      <c r="AC421" s="48"/>
      <c r="AD421" s="35"/>
      <c r="AE421" s="48"/>
      <c r="AF421" s="48"/>
      <c r="AG421" s="48"/>
      <c r="AH421" s="48"/>
      <c r="AI421" s="49"/>
    </row>
    <row r="422" spans="1:35" x14ac:dyDescent="0.25">
      <c r="A422" s="48">
        <v>86</v>
      </c>
      <c r="B422" s="166" t="s">
        <v>374</v>
      </c>
      <c r="C422" s="166" t="s">
        <v>372</v>
      </c>
      <c r="D422" s="138">
        <f t="shared" si="19"/>
        <v>0</v>
      </c>
      <c r="E422" s="48"/>
      <c r="F422" s="48"/>
      <c r="G422" s="35"/>
      <c r="H422" s="35"/>
      <c r="I422" s="35"/>
      <c r="J422" s="35"/>
      <c r="K422" s="35"/>
      <c r="L422" s="35"/>
      <c r="M422" s="48"/>
      <c r="N422" s="48"/>
      <c r="O422" s="48"/>
      <c r="P422" s="48"/>
      <c r="Q422" s="35"/>
      <c r="R422" s="40"/>
      <c r="S422" s="40"/>
      <c r="T422" s="40"/>
      <c r="U422" s="40"/>
      <c r="V422" s="48"/>
      <c r="W422" s="48"/>
      <c r="X422" s="48"/>
      <c r="Y422" s="48"/>
      <c r="Z422" s="48"/>
      <c r="AA422" s="48"/>
      <c r="AB422" s="48"/>
      <c r="AC422" s="48"/>
      <c r="AD422" s="35"/>
      <c r="AE422" s="48"/>
      <c r="AF422" s="48"/>
      <c r="AG422" s="48"/>
      <c r="AH422" s="48"/>
      <c r="AI422" s="49"/>
    </row>
    <row r="423" spans="1:35" x14ac:dyDescent="0.25">
      <c r="A423" s="48">
        <v>87</v>
      </c>
      <c r="B423" s="166" t="s">
        <v>298</v>
      </c>
      <c r="C423" s="166" t="s">
        <v>297</v>
      </c>
      <c r="D423" s="138">
        <f t="shared" si="19"/>
        <v>0</v>
      </c>
      <c r="E423" s="48"/>
      <c r="F423" s="48"/>
      <c r="G423" s="35"/>
      <c r="H423" s="35"/>
      <c r="I423" s="35"/>
      <c r="J423" s="35"/>
      <c r="K423" s="35"/>
      <c r="L423" s="35"/>
      <c r="M423" s="48"/>
      <c r="N423" s="48"/>
      <c r="O423" s="48"/>
      <c r="P423" s="48"/>
      <c r="Q423" s="35"/>
      <c r="R423" s="40"/>
      <c r="S423" s="40"/>
      <c r="T423" s="40"/>
      <c r="U423" s="40"/>
      <c r="V423" s="48"/>
      <c r="W423" s="48"/>
      <c r="X423" s="48"/>
      <c r="Y423" s="48"/>
      <c r="Z423" s="48"/>
      <c r="AA423" s="48"/>
      <c r="AB423" s="48"/>
      <c r="AC423" s="48"/>
      <c r="AD423" s="35"/>
      <c r="AE423" s="48"/>
      <c r="AF423" s="48"/>
      <c r="AG423" s="48"/>
      <c r="AH423" s="48"/>
      <c r="AI423" s="49"/>
    </row>
    <row r="424" spans="1:35" x14ac:dyDescent="0.25">
      <c r="A424" s="48">
        <v>88</v>
      </c>
      <c r="B424" s="166" t="s">
        <v>346</v>
      </c>
      <c r="C424" s="166" t="s">
        <v>344</v>
      </c>
      <c r="D424" s="138">
        <f t="shared" si="19"/>
        <v>70530</v>
      </c>
      <c r="E424" s="48"/>
      <c r="F424" s="48"/>
      <c r="G424" s="35"/>
      <c r="H424" s="35"/>
      <c r="I424" s="35"/>
      <c r="J424" s="35"/>
      <c r="K424" s="35"/>
      <c r="L424" s="35">
        <f>520*15</f>
        <v>7800</v>
      </c>
      <c r="M424" s="48">
        <v>13860</v>
      </c>
      <c r="N424" s="48">
        <f>225*42+409*15+675</f>
        <v>16260</v>
      </c>
      <c r="O424" s="48">
        <v>3610</v>
      </c>
      <c r="P424" s="48"/>
      <c r="Q424" s="35">
        <v>10000</v>
      </c>
      <c r="R424" s="40"/>
      <c r="S424" s="40"/>
      <c r="T424" s="40"/>
      <c r="U424" s="40"/>
      <c r="V424" s="48"/>
      <c r="W424" s="48"/>
      <c r="X424" s="48"/>
      <c r="Y424" s="48"/>
      <c r="Z424" s="48"/>
      <c r="AA424" s="48">
        <f>466*15</f>
        <v>6990</v>
      </c>
      <c r="AB424" s="48">
        <v>10</v>
      </c>
      <c r="AC424" s="48"/>
      <c r="AD424" s="35"/>
      <c r="AE424" s="48"/>
      <c r="AF424" s="48"/>
      <c r="AG424" s="48"/>
      <c r="AH424" s="48"/>
      <c r="AI424" s="49">
        <v>12000</v>
      </c>
    </row>
    <row r="425" spans="1:35" x14ac:dyDescent="0.25">
      <c r="A425" s="48">
        <v>89</v>
      </c>
      <c r="B425" s="166" t="s">
        <v>347</v>
      </c>
      <c r="C425" s="166" t="s">
        <v>345</v>
      </c>
      <c r="D425" s="138">
        <f t="shared" si="19"/>
        <v>0</v>
      </c>
      <c r="E425" s="48"/>
      <c r="F425" s="48"/>
      <c r="G425" s="35"/>
      <c r="H425" s="35"/>
      <c r="I425" s="35"/>
      <c r="J425" s="35"/>
      <c r="K425" s="35"/>
      <c r="L425" s="35"/>
      <c r="M425" s="48"/>
      <c r="N425" s="48"/>
      <c r="O425" s="48"/>
      <c r="P425" s="48"/>
      <c r="Q425" s="35"/>
      <c r="R425" s="40"/>
      <c r="S425" s="40"/>
      <c r="T425" s="40"/>
      <c r="U425" s="40"/>
      <c r="V425" s="48"/>
      <c r="W425" s="48"/>
      <c r="X425" s="48"/>
      <c r="Y425" s="48"/>
      <c r="Z425" s="48"/>
      <c r="AA425" s="48"/>
      <c r="AB425" s="48"/>
      <c r="AC425" s="48"/>
      <c r="AD425" s="35"/>
      <c r="AE425" s="48"/>
      <c r="AF425" s="48"/>
      <c r="AG425" s="48"/>
      <c r="AH425" s="48"/>
      <c r="AI425" s="49"/>
    </row>
    <row r="426" spans="1:35" x14ac:dyDescent="0.25">
      <c r="A426" s="48">
        <v>90</v>
      </c>
      <c r="B426" s="166" t="s">
        <v>357</v>
      </c>
      <c r="C426" s="166" t="s">
        <v>355</v>
      </c>
      <c r="D426" s="138">
        <f t="shared" si="19"/>
        <v>12230</v>
      </c>
      <c r="E426" s="48"/>
      <c r="F426" s="48"/>
      <c r="G426" s="35"/>
      <c r="H426" s="35"/>
      <c r="I426" s="35"/>
      <c r="J426" s="35"/>
      <c r="K426" s="35"/>
      <c r="L426" s="35"/>
      <c r="M426" s="48"/>
      <c r="N426" s="48"/>
      <c r="O426" s="48"/>
      <c r="P426" s="48"/>
      <c r="Q426" s="35"/>
      <c r="R426" s="40"/>
      <c r="S426" s="40"/>
      <c r="T426" s="40"/>
      <c r="U426" s="40"/>
      <c r="V426" s="48"/>
      <c r="W426" s="48"/>
      <c r="X426" s="48"/>
      <c r="Y426" s="48">
        <v>12230</v>
      </c>
      <c r="Z426" s="48"/>
      <c r="AA426" s="48"/>
      <c r="AB426" s="48"/>
      <c r="AC426" s="48"/>
      <c r="AD426" s="35"/>
      <c r="AE426" s="48"/>
      <c r="AF426" s="48"/>
      <c r="AG426" s="48"/>
      <c r="AH426" s="48"/>
      <c r="AI426" s="49"/>
    </row>
    <row r="427" spans="1:35" x14ac:dyDescent="0.25">
      <c r="A427" s="48">
        <v>91</v>
      </c>
      <c r="B427" s="166" t="s">
        <v>358</v>
      </c>
      <c r="C427" s="166" t="s">
        <v>356</v>
      </c>
      <c r="D427" s="138">
        <f t="shared" si="19"/>
        <v>0</v>
      </c>
      <c r="E427" s="48"/>
      <c r="F427" s="48"/>
      <c r="G427" s="35"/>
      <c r="H427" s="35"/>
      <c r="I427" s="35"/>
      <c r="J427" s="35"/>
      <c r="K427" s="35"/>
      <c r="L427" s="35"/>
      <c r="M427" s="48"/>
      <c r="N427" s="48"/>
      <c r="O427" s="48"/>
      <c r="P427" s="48"/>
      <c r="Q427" s="35"/>
      <c r="R427" s="40"/>
      <c r="S427" s="40"/>
      <c r="T427" s="40"/>
      <c r="U427" s="40"/>
      <c r="V427" s="48"/>
      <c r="W427" s="48"/>
      <c r="X427" s="48"/>
      <c r="Y427" s="48"/>
      <c r="Z427" s="48"/>
      <c r="AA427" s="48"/>
      <c r="AB427" s="48"/>
      <c r="AC427" s="48"/>
      <c r="AD427" s="35"/>
      <c r="AE427" s="48"/>
      <c r="AF427" s="48"/>
      <c r="AG427" s="48"/>
      <c r="AH427" s="48"/>
      <c r="AI427" s="49"/>
    </row>
    <row r="428" spans="1:35" x14ac:dyDescent="0.25">
      <c r="A428" s="48">
        <v>92</v>
      </c>
      <c r="B428" s="166" t="s">
        <v>359</v>
      </c>
      <c r="C428" s="166" t="s">
        <v>360</v>
      </c>
      <c r="D428" s="138">
        <f t="shared" si="19"/>
        <v>56000</v>
      </c>
      <c r="E428" s="48"/>
      <c r="F428" s="48"/>
      <c r="G428" s="35"/>
      <c r="H428" s="35"/>
      <c r="I428" s="35"/>
      <c r="J428" s="35">
        <v>30000</v>
      </c>
      <c r="K428" s="35">
        <v>26000</v>
      </c>
      <c r="L428" s="35"/>
      <c r="M428" s="48"/>
      <c r="N428" s="48"/>
      <c r="O428" s="48"/>
      <c r="P428" s="48"/>
      <c r="Q428" s="35"/>
      <c r="R428" s="40"/>
      <c r="S428" s="40"/>
      <c r="T428" s="40"/>
      <c r="U428" s="40"/>
      <c r="V428" s="48"/>
      <c r="W428" s="48"/>
      <c r="X428" s="48"/>
      <c r="Y428" s="48"/>
      <c r="Z428" s="48"/>
      <c r="AA428" s="48"/>
      <c r="AB428" s="48"/>
      <c r="AC428" s="48"/>
      <c r="AD428" s="35"/>
      <c r="AE428" s="48"/>
      <c r="AF428" s="48"/>
      <c r="AG428" s="48"/>
      <c r="AH428" s="48"/>
      <c r="AI428" s="49"/>
    </row>
    <row r="429" spans="1:35" x14ac:dyDescent="0.25">
      <c r="A429" s="48">
        <v>93</v>
      </c>
      <c r="B429" s="171" t="s">
        <v>485</v>
      </c>
      <c r="C429" s="166" t="s">
        <v>484</v>
      </c>
      <c r="D429" s="138">
        <f t="shared" si="19"/>
        <v>0</v>
      </c>
      <c r="E429" s="48"/>
      <c r="F429" s="48"/>
      <c r="G429" s="35"/>
      <c r="H429" s="35"/>
      <c r="I429" s="35"/>
      <c r="J429" s="35"/>
      <c r="K429" s="35"/>
      <c r="L429" s="35"/>
      <c r="M429" s="48"/>
      <c r="N429" s="48"/>
      <c r="O429" s="48"/>
      <c r="P429" s="48"/>
      <c r="Q429" s="35"/>
      <c r="R429" s="40"/>
      <c r="S429" s="40"/>
      <c r="T429" s="40"/>
      <c r="U429" s="40"/>
      <c r="V429" s="48"/>
      <c r="W429" s="48"/>
      <c r="X429" s="48"/>
      <c r="Y429" s="48"/>
      <c r="Z429" s="48"/>
      <c r="AA429" s="48"/>
      <c r="AB429" s="48"/>
      <c r="AC429" s="48"/>
      <c r="AD429" s="35"/>
      <c r="AE429" s="48"/>
      <c r="AF429" s="48"/>
      <c r="AG429" s="48"/>
      <c r="AH429" s="48"/>
      <c r="AI429" s="49"/>
    </row>
    <row r="430" spans="1:35" x14ac:dyDescent="0.25">
      <c r="A430" s="48">
        <v>94</v>
      </c>
      <c r="B430" s="171" t="s">
        <v>487</v>
      </c>
      <c r="C430" s="166" t="s">
        <v>486</v>
      </c>
      <c r="D430" s="138">
        <f t="shared" si="19"/>
        <v>410</v>
      </c>
      <c r="E430" s="48"/>
      <c r="F430" s="48"/>
      <c r="G430" s="35"/>
      <c r="H430" s="35"/>
      <c r="I430" s="35"/>
      <c r="J430" s="35"/>
      <c r="K430" s="35"/>
      <c r="L430" s="35"/>
      <c r="M430" s="48"/>
      <c r="N430" s="48"/>
      <c r="O430" s="48"/>
      <c r="P430" s="48"/>
      <c r="Q430" s="35"/>
      <c r="R430" s="40"/>
      <c r="S430" s="40"/>
      <c r="T430" s="40"/>
      <c r="U430" s="40"/>
      <c r="V430" s="48"/>
      <c r="W430" s="48"/>
      <c r="X430" s="48"/>
      <c r="Y430" s="48"/>
      <c r="Z430" s="48">
        <f>205*2</f>
        <v>410</v>
      </c>
      <c r="AA430" s="48"/>
      <c r="AB430" s="48"/>
      <c r="AC430" s="48"/>
      <c r="AD430" s="35"/>
      <c r="AE430" s="48"/>
      <c r="AF430" s="48"/>
      <c r="AG430" s="48"/>
      <c r="AH430" s="48"/>
      <c r="AI430" s="49"/>
    </row>
    <row r="431" spans="1:35" x14ac:dyDescent="0.25">
      <c r="A431" s="48">
        <v>95</v>
      </c>
      <c r="B431" s="166" t="s">
        <v>489</v>
      </c>
      <c r="C431" s="166" t="s">
        <v>488</v>
      </c>
      <c r="D431" s="138">
        <f t="shared" si="19"/>
        <v>1300</v>
      </c>
      <c r="E431" s="48"/>
      <c r="F431" s="48"/>
      <c r="G431" s="35"/>
      <c r="H431" s="35"/>
      <c r="I431" s="35"/>
      <c r="J431" s="35"/>
      <c r="K431" s="35"/>
      <c r="L431" s="35"/>
      <c r="M431" s="48"/>
      <c r="N431" s="48">
        <f>540*2</f>
        <v>1080</v>
      </c>
      <c r="O431" s="48">
        <v>220</v>
      </c>
      <c r="P431" s="48"/>
      <c r="Q431" s="35"/>
      <c r="R431" s="40"/>
      <c r="S431" s="40"/>
      <c r="T431" s="40"/>
      <c r="U431" s="40"/>
      <c r="V431" s="48"/>
      <c r="W431" s="48"/>
      <c r="X431" s="48"/>
      <c r="Y431" s="48"/>
      <c r="Z431" s="48"/>
      <c r="AA431" s="48"/>
      <c r="AB431" s="48"/>
      <c r="AC431" s="48"/>
      <c r="AD431" s="35"/>
      <c r="AE431" s="48"/>
      <c r="AF431" s="48"/>
      <c r="AG431" s="48"/>
      <c r="AH431" s="48"/>
      <c r="AI431" s="49"/>
    </row>
    <row r="432" spans="1:35" x14ac:dyDescent="0.25">
      <c r="A432" s="48">
        <v>96</v>
      </c>
      <c r="B432" s="166" t="s">
        <v>159</v>
      </c>
      <c r="C432" s="166" t="s">
        <v>115</v>
      </c>
      <c r="D432" s="138">
        <f t="shared" si="19"/>
        <v>180000</v>
      </c>
      <c r="E432" s="48"/>
      <c r="F432" s="48"/>
      <c r="G432" s="35"/>
      <c r="H432" s="35">
        <f>1000*30</f>
        <v>30000</v>
      </c>
      <c r="I432" s="35">
        <f>667*30</f>
        <v>20010</v>
      </c>
      <c r="J432" s="35">
        <f>1667*30-20</f>
        <v>49990</v>
      </c>
      <c r="K432" s="35"/>
      <c r="L432" s="48">
        <v>25200</v>
      </c>
      <c r="M432" s="48">
        <v>3330</v>
      </c>
      <c r="N432" s="48"/>
      <c r="O432" s="48"/>
      <c r="P432" s="48"/>
      <c r="Q432" s="35">
        <f>10470+1367*30-10</f>
        <v>51470</v>
      </c>
      <c r="R432" s="40"/>
      <c r="S432" s="40"/>
      <c r="T432" s="40"/>
      <c r="U432" s="40"/>
      <c r="V432" s="48"/>
      <c r="W432" s="48"/>
      <c r="X432" s="48"/>
      <c r="Y432" s="48"/>
      <c r="Z432" s="48"/>
      <c r="AA432" s="48"/>
      <c r="AB432" s="48"/>
      <c r="AC432" s="48"/>
      <c r="AD432" s="35"/>
      <c r="AE432" s="48"/>
      <c r="AF432" s="48"/>
      <c r="AG432" s="48"/>
      <c r="AH432" s="48"/>
      <c r="AI432" s="49"/>
    </row>
    <row r="433" spans="1:35" x14ac:dyDescent="0.25">
      <c r="A433" s="48">
        <v>97</v>
      </c>
      <c r="B433" s="166" t="s">
        <v>314</v>
      </c>
      <c r="C433" s="166" t="s">
        <v>313</v>
      </c>
      <c r="D433" s="138">
        <f t="shared" ref="D433:D464" si="20">SUM(E433:AI433)</f>
        <v>0</v>
      </c>
      <c r="E433" s="48"/>
      <c r="F433" s="48"/>
      <c r="G433" s="35"/>
      <c r="H433" s="35"/>
      <c r="I433" s="35"/>
      <c r="J433" s="35"/>
      <c r="K433" s="35"/>
      <c r="L433" s="35"/>
      <c r="M433" s="48"/>
      <c r="N433" s="48"/>
      <c r="O433" s="48"/>
      <c r="P433" s="48"/>
      <c r="Q433" s="35"/>
      <c r="R433" s="40"/>
      <c r="S433" s="40"/>
      <c r="T433" s="40"/>
      <c r="U433" s="40"/>
      <c r="V433" s="48"/>
      <c r="W433" s="48"/>
      <c r="X433" s="48"/>
      <c r="Y433" s="48"/>
      <c r="Z433" s="48"/>
      <c r="AA433" s="48"/>
      <c r="AB433" s="48"/>
      <c r="AC433" s="48"/>
      <c r="AD433" s="35"/>
      <c r="AE433" s="48"/>
      <c r="AF433" s="48"/>
      <c r="AG433" s="48"/>
      <c r="AH433" s="48"/>
      <c r="AI433" s="49"/>
    </row>
    <row r="434" spans="1:35" x14ac:dyDescent="0.25">
      <c r="A434" s="48">
        <v>98</v>
      </c>
      <c r="B434" s="166" t="s">
        <v>160</v>
      </c>
      <c r="C434" s="166" t="s">
        <v>116</v>
      </c>
      <c r="D434" s="138">
        <f t="shared" si="20"/>
        <v>0</v>
      </c>
      <c r="E434" s="48"/>
      <c r="F434" s="48"/>
      <c r="G434" s="35"/>
      <c r="H434" s="35"/>
      <c r="I434" s="35"/>
      <c r="J434" s="35"/>
      <c r="K434" s="35"/>
      <c r="L434" s="35"/>
      <c r="M434" s="48"/>
      <c r="N434" s="48"/>
      <c r="O434" s="48"/>
      <c r="P434" s="48"/>
      <c r="Q434" s="35"/>
      <c r="R434" s="40"/>
      <c r="S434" s="40"/>
      <c r="T434" s="40"/>
      <c r="U434" s="40"/>
      <c r="V434" s="48"/>
      <c r="W434" s="48"/>
      <c r="X434" s="48"/>
      <c r="Y434" s="48"/>
      <c r="Z434" s="48"/>
      <c r="AA434" s="48"/>
      <c r="AB434" s="48"/>
      <c r="AC434" s="48"/>
      <c r="AD434" s="35"/>
      <c r="AE434" s="48"/>
      <c r="AF434" s="48"/>
      <c r="AG434" s="48"/>
      <c r="AH434" s="48"/>
      <c r="AI434" s="49"/>
    </row>
    <row r="435" spans="1:35" x14ac:dyDescent="0.25">
      <c r="A435" s="48">
        <v>99</v>
      </c>
      <c r="B435" s="166" t="s">
        <v>161</v>
      </c>
      <c r="C435" s="166" t="s">
        <v>117</v>
      </c>
      <c r="D435" s="138">
        <f t="shared" si="20"/>
        <v>0</v>
      </c>
      <c r="E435" s="48"/>
      <c r="F435" s="48"/>
      <c r="G435" s="35"/>
      <c r="H435" s="35"/>
      <c r="I435" s="35"/>
      <c r="J435" s="35"/>
      <c r="K435" s="35"/>
      <c r="L435" s="35"/>
      <c r="M435" s="48"/>
      <c r="N435" s="48"/>
      <c r="O435" s="48"/>
      <c r="P435" s="48"/>
      <c r="Q435" s="35"/>
      <c r="R435" s="40"/>
      <c r="S435" s="40"/>
      <c r="T435" s="40"/>
      <c r="U435" s="40"/>
      <c r="V435" s="48"/>
      <c r="W435" s="48"/>
      <c r="X435" s="48"/>
      <c r="Y435" s="48"/>
      <c r="Z435" s="48"/>
      <c r="AA435" s="156"/>
      <c r="AB435" s="48"/>
      <c r="AC435" s="48"/>
      <c r="AD435" s="35"/>
      <c r="AE435" s="48"/>
      <c r="AF435" s="48"/>
      <c r="AG435" s="48"/>
      <c r="AH435" s="48"/>
      <c r="AI435" s="49"/>
    </row>
    <row r="436" spans="1:35" x14ac:dyDescent="0.25">
      <c r="A436" s="48">
        <v>100</v>
      </c>
      <c r="B436" s="166" t="s">
        <v>244</v>
      </c>
      <c r="C436" s="166" t="s">
        <v>243</v>
      </c>
      <c r="D436" s="138">
        <f t="shared" si="20"/>
        <v>720</v>
      </c>
      <c r="E436" s="48"/>
      <c r="F436" s="48"/>
      <c r="G436" s="35"/>
      <c r="H436" s="35"/>
      <c r="I436" s="35"/>
      <c r="J436" s="35">
        <v>720</v>
      </c>
      <c r="K436" s="35"/>
      <c r="L436" s="35"/>
      <c r="M436" s="48"/>
      <c r="N436" s="48"/>
      <c r="O436" s="48"/>
      <c r="P436" s="48"/>
      <c r="Q436" s="35"/>
      <c r="R436" s="40"/>
      <c r="S436" s="40"/>
      <c r="T436" s="40"/>
      <c r="U436" s="40"/>
      <c r="V436" s="48"/>
      <c r="W436" s="48"/>
      <c r="X436" s="48"/>
      <c r="Y436" s="48"/>
      <c r="Z436" s="48"/>
      <c r="AA436" s="48"/>
      <c r="AB436" s="48"/>
      <c r="AC436" s="48"/>
      <c r="AD436" s="35"/>
      <c r="AE436" s="48"/>
      <c r="AF436" s="48"/>
      <c r="AG436" s="48"/>
      <c r="AH436" s="48"/>
      <c r="AI436" s="49"/>
    </row>
    <row r="437" spans="1:35" x14ac:dyDescent="0.25">
      <c r="A437" s="48">
        <v>101</v>
      </c>
      <c r="B437" s="166" t="s">
        <v>362</v>
      </c>
      <c r="C437" s="166" t="s">
        <v>361</v>
      </c>
      <c r="D437" s="138">
        <f t="shared" si="20"/>
        <v>18900</v>
      </c>
      <c r="E437" s="48"/>
      <c r="F437" s="48"/>
      <c r="G437" s="35"/>
      <c r="H437" s="35"/>
      <c r="I437" s="35"/>
      <c r="J437" s="35"/>
      <c r="K437" s="35"/>
      <c r="L437" s="35"/>
      <c r="M437" s="48"/>
      <c r="N437" s="48"/>
      <c r="O437" s="48"/>
      <c r="P437" s="48"/>
      <c r="Q437" s="35"/>
      <c r="R437" s="40"/>
      <c r="S437" s="40"/>
      <c r="T437" s="40"/>
      <c r="U437" s="40">
        <v>24</v>
      </c>
      <c r="V437" s="48"/>
      <c r="W437" s="48">
        <f>310*48</f>
        <v>14880</v>
      </c>
      <c r="X437" s="48">
        <v>24</v>
      </c>
      <c r="Y437" s="48"/>
      <c r="Z437" s="48"/>
      <c r="AA437" s="48">
        <v>3972</v>
      </c>
      <c r="AB437" s="48"/>
      <c r="AC437" s="48"/>
      <c r="AD437" s="35"/>
      <c r="AE437" s="48"/>
      <c r="AF437" s="48"/>
      <c r="AG437" s="48"/>
      <c r="AH437" s="48"/>
      <c r="AI437" s="49"/>
    </row>
    <row r="438" spans="1:35" x14ac:dyDescent="0.25">
      <c r="A438" s="48">
        <v>102</v>
      </c>
      <c r="B438" s="166" t="s">
        <v>334</v>
      </c>
      <c r="C438" s="166" t="s">
        <v>333</v>
      </c>
      <c r="D438" s="138">
        <f t="shared" si="20"/>
        <v>18802</v>
      </c>
      <c r="E438" s="48">
        <v>1632</v>
      </c>
      <c r="F438" s="48"/>
      <c r="G438" s="35">
        <f>220*6</f>
        <v>1320</v>
      </c>
      <c r="H438" s="35">
        <v>8688</v>
      </c>
      <c r="I438" s="35">
        <v>7062</v>
      </c>
      <c r="J438" s="35">
        <v>100</v>
      </c>
      <c r="K438" s="35"/>
      <c r="L438" s="35"/>
      <c r="M438" s="48"/>
      <c r="N438" s="48"/>
      <c r="O438" s="48"/>
      <c r="P438" s="48"/>
      <c r="Q438" s="35"/>
      <c r="R438" s="40"/>
      <c r="S438" s="40"/>
      <c r="T438" s="40"/>
      <c r="U438" s="40"/>
      <c r="V438" s="48"/>
      <c r="W438" s="48"/>
      <c r="X438" s="48"/>
      <c r="Y438" s="48"/>
      <c r="Z438" s="48"/>
      <c r="AA438" s="48"/>
      <c r="AB438" s="48"/>
      <c r="AC438" s="48"/>
      <c r="AD438" s="35"/>
      <c r="AE438" s="48"/>
      <c r="AF438" s="48"/>
      <c r="AG438" s="48"/>
      <c r="AH438" s="48"/>
      <c r="AI438" s="49"/>
    </row>
    <row r="439" spans="1:35" x14ac:dyDescent="0.25">
      <c r="A439" s="48">
        <v>103</v>
      </c>
      <c r="B439" s="166" t="s">
        <v>498</v>
      </c>
      <c r="C439" s="166" t="s">
        <v>497</v>
      </c>
      <c r="D439" s="138">
        <f t="shared" si="20"/>
        <v>23000</v>
      </c>
      <c r="E439" s="48"/>
      <c r="F439" s="48"/>
      <c r="G439" s="35"/>
      <c r="H439" s="35"/>
      <c r="I439" s="35"/>
      <c r="J439" s="35"/>
      <c r="K439" s="35"/>
      <c r="L439" s="35"/>
      <c r="M439" s="48"/>
      <c r="N439" s="48"/>
      <c r="O439" s="48"/>
      <c r="P439" s="48"/>
      <c r="Q439" s="35"/>
      <c r="R439" s="40"/>
      <c r="S439" s="40"/>
      <c r="T439" s="40"/>
      <c r="U439" s="40">
        <v>24</v>
      </c>
      <c r="V439" s="48"/>
      <c r="W439" s="48"/>
      <c r="X439" s="48">
        <v>13080</v>
      </c>
      <c r="Y439" s="48"/>
      <c r="Z439" s="48"/>
      <c r="AA439" s="48"/>
      <c r="AB439" s="48">
        <v>9888</v>
      </c>
      <c r="AC439" s="48">
        <v>8</v>
      </c>
      <c r="AD439" s="35"/>
      <c r="AE439" s="48"/>
      <c r="AF439" s="48"/>
      <c r="AG439" s="48"/>
      <c r="AH439" s="48"/>
      <c r="AI439" s="49"/>
    </row>
    <row r="440" spans="1:35" x14ac:dyDescent="0.25">
      <c r="A440" s="48">
        <v>104</v>
      </c>
      <c r="B440" s="166" t="s">
        <v>500</v>
      </c>
      <c r="C440" s="166" t="s">
        <v>499</v>
      </c>
      <c r="D440" s="138">
        <f t="shared" si="20"/>
        <v>8000</v>
      </c>
      <c r="E440" s="48"/>
      <c r="F440" s="48"/>
      <c r="G440" s="35"/>
      <c r="H440" s="35"/>
      <c r="I440" s="35"/>
      <c r="J440" s="35"/>
      <c r="K440" s="35"/>
      <c r="L440" s="35"/>
      <c r="M440" s="48"/>
      <c r="N440" s="48"/>
      <c r="O440" s="48"/>
      <c r="P440" s="48"/>
      <c r="Q440" s="35"/>
      <c r="R440" s="40"/>
      <c r="S440" s="40"/>
      <c r="T440" s="40"/>
      <c r="U440" s="40"/>
      <c r="V440" s="48"/>
      <c r="W440" s="48"/>
      <c r="X440" s="48"/>
      <c r="Y440" s="48"/>
      <c r="Z440" s="48">
        <f>400*20</f>
        <v>8000</v>
      </c>
      <c r="AA440" s="48"/>
      <c r="AB440" s="48"/>
      <c r="AC440" s="48"/>
      <c r="AD440" s="35"/>
      <c r="AE440" s="48"/>
      <c r="AF440" s="48"/>
      <c r="AG440" s="48"/>
      <c r="AH440" s="48"/>
      <c r="AI440" s="49"/>
    </row>
    <row r="441" spans="1:35" x14ac:dyDescent="0.25">
      <c r="A441" s="48">
        <v>105</v>
      </c>
      <c r="B441" s="166" t="s">
        <v>503</v>
      </c>
      <c r="C441" s="166" t="s">
        <v>501</v>
      </c>
      <c r="D441" s="138">
        <f t="shared" si="20"/>
        <v>0</v>
      </c>
      <c r="E441" s="48"/>
      <c r="F441" s="48"/>
      <c r="G441" s="35"/>
      <c r="H441" s="35"/>
      <c r="I441" s="35"/>
      <c r="J441" s="35"/>
      <c r="K441" s="35"/>
      <c r="L441" s="35"/>
      <c r="M441" s="48"/>
      <c r="N441" s="48"/>
      <c r="O441" s="48"/>
      <c r="P441" s="48"/>
      <c r="Q441" s="35"/>
      <c r="R441" s="40"/>
      <c r="S441" s="40"/>
      <c r="T441" s="40"/>
      <c r="U441" s="40"/>
      <c r="V441" s="48"/>
      <c r="W441" s="48"/>
      <c r="X441" s="48"/>
      <c r="Y441" s="48"/>
      <c r="Z441" s="48"/>
      <c r="AA441" s="48"/>
      <c r="AB441" s="48"/>
      <c r="AC441" s="48"/>
      <c r="AD441" s="35"/>
      <c r="AE441" s="48"/>
      <c r="AF441" s="48"/>
      <c r="AG441" s="48"/>
      <c r="AH441" s="48"/>
      <c r="AI441" s="49"/>
    </row>
    <row r="442" spans="1:35" x14ac:dyDescent="0.25">
      <c r="A442" s="48">
        <v>106</v>
      </c>
      <c r="B442" s="166" t="s">
        <v>504</v>
      </c>
      <c r="C442" s="166" t="s">
        <v>502</v>
      </c>
      <c r="D442" s="138">
        <f t="shared" si="20"/>
        <v>0</v>
      </c>
      <c r="E442" s="48"/>
      <c r="F442" s="48"/>
      <c r="G442" s="35"/>
      <c r="H442" s="35"/>
      <c r="I442" s="35"/>
      <c r="J442" s="35"/>
      <c r="K442" s="35"/>
      <c r="L442" s="35"/>
      <c r="M442" s="48"/>
      <c r="N442" s="48"/>
      <c r="O442" s="48"/>
      <c r="P442" s="48"/>
      <c r="Q442" s="35"/>
      <c r="R442" s="40"/>
      <c r="S442" s="40"/>
      <c r="T442" s="40"/>
      <c r="U442" s="40"/>
      <c r="V442" s="48"/>
      <c r="W442" s="48"/>
      <c r="X442" s="48"/>
      <c r="Y442" s="48"/>
      <c r="Z442" s="48"/>
      <c r="AA442" s="48"/>
      <c r="AB442" s="48"/>
      <c r="AC442" s="48"/>
      <c r="AD442" s="35"/>
      <c r="AE442" s="48"/>
      <c r="AF442" s="48"/>
      <c r="AG442" s="48"/>
      <c r="AH442" s="48"/>
      <c r="AI442" s="49"/>
    </row>
    <row r="443" spans="1:35" x14ac:dyDescent="0.25">
      <c r="A443" s="48">
        <v>107</v>
      </c>
      <c r="B443" s="166" t="s">
        <v>506</v>
      </c>
      <c r="C443" s="166" t="s">
        <v>505</v>
      </c>
      <c r="D443" s="138">
        <f t="shared" si="20"/>
        <v>5300</v>
      </c>
      <c r="E443" s="48"/>
      <c r="F443" s="48"/>
      <c r="G443" s="35"/>
      <c r="H443" s="35"/>
      <c r="I443" s="35"/>
      <c r="J443" s="35"/>
      <c r="K443" s="35">
        <f>652*6+232*6-4</f>
        <v>5300</v>
      </c>
      <c r="L443" s="35"/>
      <c r="M443" s="48"/>
      <c r="N443" s="48"/>
      <c r="O443" s="48"/>
      <c r="P443" s="48"/>
      <c r="Q443" s="35"/>
      <c r="R443" s="40"/>
      <c r="S443" s="40"/>
      <c r="T443" s="40"/>
      <c r="U443" s="40"/>
      <c r="V443" s="48"/>
      <c r="W443" s="48"/>
      <c r="X443" s="48"/>
      <c r="Y443" s="48"/>
      <c r="Z443" s="48"/>
      <c r="AA443" s="48"/>
      <c r="AB443" s="48"/>
      <c r="AC443" s="48"/>
      <c r="AD443" s="35"/>
      <c r="AE443" s="48"/>
      <c r="AF443" s="48"/>
      <c r="AG443" s="48"/>
      <c r="AH443" s="48"/>
      <c r="AI443" s="49"/>
    </row>
    <row r="444" spans="1:35" x14ac:dyDescent="0.25">
      <c r="A444" s="48">
        <v>108</v>
      </c>
      <c r="B444" s="166" t="s">
        <v>252</v>
      </c>
      <c r="C444" s="166" t="s">
        <v>251</v>
      </c>
      <c r="D444" s="138">
        <f t="shared" si="20"/>
        <v>34000</v>
      </c>
      <c r="E444" s="48"/>
      <c r="F444" s="48"/>
      <c r="G444" s="35"/>
      <c r="H444" s="35"/>
      <c r="I444" s="35"/>
      <c r="J444" s="35"/>
      <c r="K444" s="35"/>
      <c r="L444" s="35"/>
      <c r="M444" s="48"/>
      <c r="N444" s="48"/>
      <c r="O444" s="48"/>
      <c r="P444" s="48"/>
      <c r="Q444" s="35"/>
      <c r="R444" s="40"/>
      <c r="S444" s="40"/>
      <c r="T444" s="40"/>
      <c r="U444" s="40">
        <f>60*6+170*36+36</f>
        <v>6516</v>
      </c>
      <c r="V444" s="48">
        <f>333*36+3168</f>
        <v>15156</v>
      </c>
      <c r="W444" s="48">
        <v>11952</v>
      </c>
      <c r="X444" s="48">
        <v>376</v>
      </c>
      <c r="Y444" s="48"/>
      <c r="Z444" s="48"/>
      <c r="AA444" s="48"/>
      <c r="AB444" s="48"/>
      <c r="AC444" s="48"/>
      <c r="AD444" s="35"/>
      <c r="AE444" s="48"/>
      <c r="AF444" s="48"/>
      <c r="AG444" s="48"/>
      <c r="AH444" s="48"/>
      <c r="AI444" s="49"/>
    </row>
    <row r="445" spans="1:35" x14ac:dyDescent="0.25">
      <c r="A445" s="48">
        <v>109</v>
      </c>
      <c r="B445" s="166" t="s">
        <v>450</v>
      </c>
      <c r="C445" s="166" t="s">
        <v>453</v>
      </c>
      <c r="D445" s="138">
        <f t="shared" si="20"/>
        <v>0</v>
      </c>
      <c r="E445" s="48"/>
      <c r="F445" s="48"/>
      <c r="G445" s="35"/>
      <c r="H445" s="35"/>
      <c r="I445" s="35"/>
      <c r="J445" s="35"/>
      <c r="K445" s="35"/>
      <c r="L445" s="35"/>
      <c r="M445" s="48"/>
      <c r="N445" s="48"/>
      <c r="O445" s="48"/>
      <c r="P445" s="48"/>
      <c r="Q445" s="35"/>
      <c r="R445" s="40"/>
      <c r="S445" s="40"/>
      <c r="T445" s="40"/>
      <c r="U445" s="40"/>
      <c r="V445" s="48"/>
      <c r="W445" s="48"/>
      <c r="X445" s="48"/>
      <c r="Y445" s="48"/>
      <c r="Z445" s="48"/>
      <c r="AA445" s="48"/>
      <c r="AB445" s="48"/>
      <c r="AC445" s="48"/>
      <c r="AD445" s="35"/>
      <c r="AE445" s="48"/>
      <c r="AF445" s="48"/>
      <c r="AG445" s="48"/>
      <c r="AH445" s="48"/>
      <c r="AI445" s="49"/>
    </row>
    <row r="446" spans="1:35" x14ac:dyDescent="0.25">
      <c r="A446" s="48">
        <v>110</v>
      </c>
      <c r="B446" s="166" t="s">
        <v>451</v>
      </c>
      <c r="C446" s="166" t="s">
        <v>454</v>
      </c>
      <c r="D446" s="138">
        <f t="shared" si="20"/>
        <v>0</v>
      </c>
      <c r="E446" s="48"/>
      <c r="F446" s="48"/>
      <c r="G446" s="35"/>
      <c r="H446" s="35"/>
      <c r="I446" s="35"/>
      <c r="J446" s="35"/>
      <c r="K446" s="35"/>
      <c r="L446" s="35"/>
      <c r="M446" s="48"/>
      <c r="N446" s="48"/>
      <c r="O446" s="48"/>
      <c r="P446" s="48"/>
      <c r="Q446" s="35"/>
      <c r="R446" s="40"/>
      <c r="S446" s="40"/>
      <c r="T446" s="40"/>
      <c r="U446" s="40"/>
      <c r="V446" s="48"/>
      <c r="W446" s="48"/>
      <c r="X446" s="48"/>
      <c r="Y446" s="48"/>
      <c r="Z446" s="48"/>
      <c r="AA446" s="48"/>
      <c r="AB446" s="48"/>
      <c r="AC446" s="48"/>
      <c r="AD446" s="35"/>
      <c r="AE446" s="48"/>
      <c r="AF446" s="48"/>
      <c r="AG446" s="48"/>
      <c r="AH446" s="48"/>
      <c r="AI446" s="49"/>
    </row>
    <row r="447" spans="1:35" x14ac:dyDescent="0.25">
      <c r="A447" s="48">
        <v>111</v>
      </c>
      <c r="B447" s="166" t="s">
        <v>452</v>
      </c>
      <c r="C447" s="166" t="s">
        <v>455</v>
      </c>
      <c r="D447" s="138">
        <f t="shared" si="20"/>
        <v>0</v>
      </c>
      <c r="E447" s="48"/>
      <c r="F447" s="48"/>
      <c r="G447" s="35"/>
      <c r="H447" s="35"/>
      <c r="I447" s="35"/>
      <c r="J447" s="35"/>
      <c r="K447" s="35"/>
      <c r="L447" s="35"/>
      <c r="M447" s="48"/>
      <c r="N447" s="48"/>
      <c r="O447" s="48"/>
      <c r="P447" s="48"/>
      <c r="Q447" s="35"/>
      <c r="R447" s="40"/>
      <c r="S447" s="40"/>
      <c r="T447" s="40"/>
      <c r="U447" s="40"/>
      <c r="V447" s="48"/>
      <c r="W447" s="48"/>
      <c r="X447" s="48"/>
      <c r="Y447" s="48"/>
      <c r="Z447" s="48"/>
      <c r="AA447" s="48"/>
      <c r="AB447" s="48"/>
      <c r="AC447" s="48"/>
      <c r="AD447" s="35"/>
      <c r="AE447" s="48"/>
      <c r="AF447" s="48"/>
      <c r="AG447" s="48"/>
      <c r="AH447" s="48"/>
      <c r="AI447" s="49"/>
    </row>
    <row r="448" spans="1:35" x14ac:dyDescent="0.25">
      <c r="A448" s="48">
        <v>112</v>
      </c>
      <c r="B448" s="166" t="s">
        <v>456</v>
      </c>
      <c r="C448" s="166" t="s">
        <v>457</v>
      </c>
      <c r="D448" s="138">
        <f t="shared" si="20"/>
        <v>648000</v>
      </c>
      <c r="E448" s="48"/>
      <c r="F448" s="48"/>
      <c r="G448" s="35"/>
      <c r="H448" s="35"/>
      <c r="I448" s="35"/>
      <c r="J448" s="35"/>
      <c r="K448" s="35">
        <f>400*42</f>
        <v>16800</v>
      </c>
      <c r="L448" s="48">
        <f>816*42+927*42</f>
        <v>73206</v>
      </c>
      <c r="M448" s="48">
        <f>888*42+1492*42</f>
        <v>99960</v>
      </c>
      <c r="N448" s="48">
        <f>180*42+1249*42</f>
        <v>60018</v>
      </c>
      <c r="O448" s="48">
        <f>958*42+1239*42</f>
        <v>92274</v>
      </c>
      <c r="P448" s="48">
        <f>568*42+575*42-264</f>
        <v>47742</v>
      </c>
      <c r="Q448" s="35"/>
      <c r="R448" s="40"/>
      <c r="S448" s="40"/>
      <c r="T448" s="40"/>
      <c r="U448" s="40">
        <v>10000</v>
      </c>
      <c r="V448" s="48"/>
      <c r="W448" s="48"/>
      <c r="X448" s="48"/>
      <c r="Y448" s="48"/>
      <c r="Z448" s="48"/>
      <c r="AA448" s="48"/>
      <c r="AB448" s="48"/>
      <c r="AC448" s="48">
        <f>715*42</f>
        <v>30030</v>
      </c>
      <c r="AD448" s="35">
        <f>134*42+1260*42</f>
        <v>58548</v>
      </c>
      <c r="AE448" s="48">
        <f>819*42+882*42+1000*42</f>
        <v>113442</v>
      </c>
      <c r="AF448" s="48">
        <v>45980</v>
      </c>
      <c r="AG448" s="48"/>
      <c r="AH448" s="48"/>
      <c r="AI448" s="49"/>
    </row>
    <row r="449" spans="1:35" x14ac:dyDescent="0.25">
      <c r="A449" s="48">
        <v>113</v>
      </c>
      <c r="B449" s="166" t="s">
        <v>364</v>
      </c>
      <c r="C449" s="166" t="s">
        <v>363</v>
      </c>
      <c r="D449" s="138">
        <f t="shared" si="20"/>
        <v>12708</v>
      </c>
      <c r="E449" s="48"/>
      <c r="F449" s="48"/>
      <c r="G449" s="35"/>
      <c r="H449" s="35"/>
      <c r="I449" s="35">
        <f>1200*6+918*6</f>
        <v>12708</v>
      </c>
      <c r="J449" s="35"/>
      <c r="K449" s="35"/>
      <c r="L449" s="35"/>
      <c r="M449" s="48"/>
      <c r="N449" s="48"/>
      <c r="O449" s="48"/>
      <c r="P449" s="48"/>
      <c r="Q449" s="35"/>
      <c r="R449" s="40"/>
      <c r="S449" s="40"/>
      <c r="T449" s="40"/>
      <c r="U449" s="40"/>
      <c r="V449" s="48"/>
      <c r="W449" s="48"/>
      <c r="X449" s="48"/>
      <c r="Y449" s="48"/>
      <c r="Z449" s="48"/>
      <c r="AA449" s="48"/>
      <c r="AB449" s="48"/>
      <c r="AC449" s="48"/>
      <c r="AD449" s="35"/>
      <c r="AE449" s="48"/>
      <c r="AF449" s="48"/>
      <c r="AG449" s="48"/>
      <c r="AH449" s="48"/>
      <c r="AI449" s="49"/>
    </row>
    <row r="450" spans="1:35" x14ac:dyDescent="0.25">
      <c r="A450" s="48">
        <v>114</v>
      </c>
      <c r="B450" s="166" t="s">
        <v>493</v>
      </c>
      <c r="C450" s="166" t="s">
        <v>492</v>
      </c>
      <c r="D450" s="138">
        <f t="shared" si="20"/>
        <v>0</v>
      </c>
      <c r="E450" s="48"/>
      <c r="F450" s="48"/>
      <c r="G450" s="35"/>
      <c r="H450" s="35"/>
      <c r="I450" s="35"/>
      <c r="J450" s="35"/>
      <c r="K450" s="35"/>
      <c r="L450" s="35"/>
      <c r="M450" s="48"/>
      <c r="N450" s="48"/>
      <c r="O450" s="48"/>
      <c r="P450" s="48"/>
      <c r="Q450" s="35"/>
      <c r="R450" s="40"/>
      <c r="S450" s="40"/>
      <c r="T450" s="40"/>
      <c r="U450" s="40"/>
      <c r="V450" s="48"/>
      <c r="W450" s="48"/>
      <c r="X450" s="48"/>
      <c r="Y450" s="48"/>
      <c r="Z450" s="48"/>
      <c r="AA450" s="48"/>
      <c r="AB450" s="48"/>
      <c r="AC450" s="48"/>
      <c r="AD450" s="35"/>
      <c r="AE450" s="48"/>
      <c r="AF450" s="48"/>
      <c r="AG450" s="48"/>
      <c r="AH450" s="48"/>
      <c r="AI450" s="49"/>
    </row>
    <row r="451" spans="1:35" x14ac:dyDescent="0.25">
      <c r="A451" s="48">
        <v>115</v>
      </c>
      <c r="B451" s="166" t="s">
        <v>625</v>
      </c>
      <c r="C451" s="166" t="s">
        <v>615</v>
      </c>
      <c r="D451" s="138">
        <f t="shared" si="20"/>
        <v>74000</v>
      </c>
      <c r="E451" s="48"/>
      <c r="F451" s="48"/>
      <c r="G451" s="35"/>
      <c r="H451" s="35"/>
      <c r="I451" s="35"/>
      <c r="J451" s="35"/>
      <c r="K451" s="35">
        <f>15000+30000</f>
        <v>45000</v>
      </c>
      <c r="L451" s="35"/>
      <c r="M451" s="48"/>
      <c r="N451" s="48"/>
      <c r="O451" s="48"/>
      <c r="P451" s="48">
        <f>834*30-20</f>
        <v>25000</v>
      </c>
      <c r="Q451" s="35"/>
      <c r="R451" s="40"/>
      <c r="S451" s="40"/>
      <c r="T451" s="40"/>
      <c r="U451" s="40"/>
      <c r="V451" s="48"/>
      <c r="W451" s="48"/>
      <c r="X451" s="48"/>
      <c r="Y451" s="48"/>
      <c r="Z451" s="48"/>
      <c r="AA451" s="48"/>
      <c r="AB451" s="48"/>
      <c r="AC451" s="48"/>
      <c r="AD451" s="35"/>
      <c r="AE451" s="48"/>
      <c r="AF451" s="48"/>
      <c r="AG451" s="48">
        <v>4000</v>
      </c>
      <c r="AH451" s="48"/>
      <c r="AI451" s="49"/>
    </row>
    <row r="452" spans="1:35" x14ac:dyDescent="0.25">
      <c r="A452" s="48">
        <v>116</v>
      </c>
      <c r="B452" s="166" t="s">
        <v>626</v>
      </c>
      <c r="C452" s="166" t="s">
        <v>616</v>
      </c>
      <c r="D452" s="138">
        <f t="shared" si="20"/>
        <v>0</v>
      </c>
      <c r="E452" s="48"/>
      <c r="F452" s="48"/>
      <c r="G452" s="35"/>
      <c r="H452" s="35"/>
      <c r="I452" s="35"/>
      <c r="J452" s="35"/>
      <c r="K452" s="35"/>
      <c r="L452" s="35"/>
      <c r="M452" s="48"/>
      <c r="N452" s="48"/>
      <c r="O452" s="48"/>
      <c r="P452" s="48"/>
      <c r="Q452" s="35"/>
      <c r="R452" s="40"/>
      <c r="S452" s="40"/>
      <c r="T452" s="40"/>
      <c r="U452" s="40"/>
      <c r="V452" s="48"/>
      <c r="W452" s="48"/>
      <c r="X452" s="48"/>
      <c r="Y452" s="48"/>
      <c r="Z452" s="48"/>
      <c r="AA452" s="48"/>
      <c r="AB452" s="48"/>
      <c r="AC452" s="48"/>
      <c r="AD452" s="35"/>
      <c r="AE452" s="48"/>
      <c r="AF452" s="48"/>
      <c r="AG452" s="48"/>
      <c r="AH452" s="48"/>
      <c r="AI452" s="49"/>
    </row>
    <row r="453" spans="1:35" x14ac:dyDescent="0.25">
      <c r="A453" s="48">
        <v>117</v>
      </c>
      <c r="B453" s="166" t="s">
        <v>627</v>
      </c>
      <c r="C453" s="166" t="s">
        <v>617</v>
      </c>
      <c r="D453" s="138">
        <f t="shared" si="20"/>
        <v>3500</v>
      </c>
      <c r="E453" s="48"/>
      <c r="F453" s="48"/>
      <c r="G453" s="35">
        <v>3500</v>
      </c>
      <c r="H453" s="35"/>
      <c r="I453" s="35"/>
      <c r="J453" s="35"/>
      <c r="K453" s="35"/>
      <c r="L453" s="35"/>
      <c r="M453" s="48"/>
      <c r="N453" s="48"/>
      <c r="O453" s="48"/>
      <c r="P453" s="48"/>
      <c r="Q453" s="35"/>
      <c r="R453" s="40"/>
      <c r="S453" s="40"/>
      <c r="T453" s="40"/>
      <c r="U453" s="40"/>
      <c r="V453" s="48"/>
      <c r="W453" s="48"/>
      <c r="X453" s="48"/>
      <c r="Y453" s="48"/>
      <c r="Z453" s="48"/>
      <c r="AA453" s="48"/>
      <c r="AB453" s="48"/>
      <c r="AC453" s="48"/>
      <c r="AD453" s="35"/>
      <c r="AE453" s="48"/>
      <c r="AF453" s="48"/>
      <c r="AG453" s="48"/>
      <c r="AH453" s="48"/>
      <c r="AI453" s="49"/>
    </row>
    <row r="454" spans="1:35" x14ac:dyDescent="0.25">
      <c r="A454" s="48">
        <v>118</v>
      </c>
      <c r="B454" s="166" t="s">
        <v>628</v>
      </c>
      <c r="C454" s="166" t="s">
        <v>618</v>
      </c>
      <c r="D454" s="138">
        <f t="shared" si="20"/>
        <v>1000</v>
      </c>
      <c r="E454" s="48"/>
      <c r="F454" s="48"/>
      <c r="G454" s="35"/>
      <c r="H454" s="35"/>
      <c r="I454" s="35"/>
      <c r="J454" s="35"/>
      <c r="K454" s="35"/>
      <c r="L454" s="35"/>
      <c r="M454" s="48"/>
      <c r="N454" s="48"/>
      <c r="O454" s="48"/>
      <c r="P454" s="48"/>
      <c r="Q454" s="35"/>
      <c r="R454" s="40"/>
      <c r="S454" s="40"/>
      <c r="T454" s="40"/>
      <c r="U454" s="40"/>
      <c r="V454" s="48"/>
      <c r="W454" s="48"/>
      <c r="X454" s="48"/>
      <c r="Y454" s="48"/>
      <c r="Z454" s="48"/>
      <c r="AA454" s="48"/>
      <c r="AB454" s="48"/>
      <c r="AC454" s="48"/>
      <c r="AD454" s="35"/>
      <c r="AE454" s="48"/>
      <c r="AF454" s="48"/>
      <c r="AG454" s="48">
        <v>1000</v>
      </c>
      <c r="AH454" s="48"/>
      <c r="AI454" s="49"/>
    </row>
    <row r="455" spans="1:35" x14ac:dyDescent="0.25">
      <c r="A455" s="48">
        <v>119</v>
      </c>
      <c r="B455" s="166" t="s">
        <v>629</v>
      </c>
      <c r="C455" s="166" t="s">
        <v>619</v>
      </c>
      <c r="D455" s="138">
        <f t="shared" si="20"/>
        <v>1950</v>
      </c>
      <c r="E455" s="48"/>
      <c r="F455" s="48"/>
      <c r="G455" s="35"/>
      <c r="H455" s="35"/>
      <c r="I455" s="35"/>
      <c r="J455" s="35"/>
      <c r="K455" s="35"/>
      <c r="L455" s="35"/>
      <c r="M455" s="48"/>
      <c r="N455" s="48"/>
      <c r="O455" s="48"/>
      <c r="P455" s="48"/>
      <c r="Q455" s="35"/>
      <c r="R455" s="40"/>
      <c r="S455" s="40"/>
      <c r="T455" s="40"/>
      <c r="U455" s="40"/>
      <c r="V455" s="48"/>
      <c r="W455" s="48"/>
      <c r="X455" s="48"/>
      <c r="Y455" s="48"/>
      <c r="Z455" s="48"/>
      <c r="AA455" s="48"/>
      <c r="AB455" s="48"/>
      <c r="AC455" s="48"/>
      <c r="AD455" s="35"/>
      <c r="AE455" s="48"/>
      <c r="AF455" s="48"/>
      <c r="AG455" s="48">
        <v>1950</v>
      </c>
      <c r="AH455" s="48"/>
      <c r="AI455" s="49"/>
    </row>
    <row r="456" spans="1:35" x14ac:dyDescent="0.25">
      <c r="A456" s="48">
        <v>120</v>
      </c>
      <c r="B456" s="166" t="s">
        <v>630</v>
      </c>
      <c r="C456" s="166" t="s">
        <v>620</v>
      </c>
      <c r="D456" s="138">
        <f t="shared" si="20"/>
        <v>9600</v>
      </c>
      <c r="E456" s="48"/>
      <c r="F456" s="48"/>
      <c r="G456" s="35"/>
      <c r="H456" s="35"/>
      <c r="I456" s="35"/>
      <c r="J456" s="35"/>
      <c r="K456" s="35"/>
      <c r="L456" s="35"/>
      <c r="M456" s="48"/>
      <c r="N456" s="48"/>
      <c r="O456" s="48"/>
      <c r="P456" s="48"/>
      <c r="Q456" s="35"/>
      <c r="R456" s="40"/>
      <c r="S456" s="40"/>
      <c r="T456" s="40"/>
      <c r="U456" s="40">
        <f>357*6+2458</f>
        <v>4600</v>
      </c>
      <c r="V456" s="48"/>
      <c r="W456" s="48"/>
      <c r="X456" s="48"/>
      <c r="Y456" s="48"/>
      <c r="Z456" s="48"/>
      <c r="AA456" s="48"/>
      <c r="AB456" s="48"/>
      <c r="AC456" s="48"/>
      <c r="AD456" s="35"/>
      <c r="AE456" s="48">
        <f>440*6+393*6</f>
        <v>4998</v>
      </c>
      <c r="AF456" s="48">
        <v>2</v>
      </c>
      <c r="AG456" s="48"/>
      <c r="AH456" s="48"/>
      <c r="AI456" s="49"/>
    </row>
    <row r="457" spans="1:35" x14ac:dyDescent="0.25">
      <c r="A457" s="48">
        <v>121</v>
      </c>
      <c r="B457" s="166" t="s">
        <v>631</v>
      </c>
      <c r="C457" s="166" t="s">
        <v>621</v>
      </c>
      <c r="D457" s="138">
        <f t="shared" si="20"/>
        <v>486</v>
      </c>
      <c r="E457" s="48"/>
      <c r="F457" s="48"/>
      <c r="G457" s="35"/>
      <c r="H457" s="35"/>
      <c r="I457" s="35"/>
      <c r="J457" s="35"/>
      <c r="K457" s="35"/>
      <c r="L457" s="35"/>
      <c r="M457" s="48"/>
      <c r="N457" s="48"/>
      <c r="O457" s="48"/>
      <c r="P457" s="48"/>
      <c r="Q457" s="35"/>
      <c r="R457" s="40"/>
      <c r="S457" s="40"/>
      <c r="T457" s="40"/>
      <c r="U457" s="40"/>
      <c r="V457" s="48"/>
      <c r="W457" s="48"/>
      <c r="X457" s="48">
        <f>243*2</f>
        <v>486</v>
      </c>
      <c r="Y457" s="48"/>
      <c r="Z457" s="48"/>
      <c r="AA457" s="48"/>
      <c r="AB457" s="48"/>
      <c r="AC457" s="48"/>
      <c r="AD457" s="35"/>
      <c r="AE457" s="48"/>
      <c r="AF457" s="48"/>
      <c r="AG457" s="48"/>
      <c r="AH457" s="48"/>
      <c r="AI457" s="49"/>
    </row>
    <row r="458" spans="1:35" x14ac:dyDescent="0.25">
      <c r="A458" s="48">
        <v>122</v>
      </c>
      <c r="B458" s="166" t="s">
        <v>632</v>
      </c>
      <c r="C458" s="166" t="s">
        <v>622</v>
      </c>
      <c r="D458" s="138">
        <f t="shared" si="20"/>
        <v>4000</v>
      </c>
      <c r="E458" s="48"/>
      <c r="F458" s="48"/>
      <c r="G458" s="35"/>
      <c r="H458" s="35"/>
      <c r="I458" s="35"/>
      <c r="J458" s="35"/>
      <c r="K458" s="35"/>
      <c r="L458" s="35"/>
      <c r="M458" s="48"/>
      <c r="N458" s="48"/>
      <c r="O458" s="48"/>
      <c r="P458" s="48">
        <f>2000*2</f>
        <v>4000</v>
      </c>
      <c r="Q458" s="35"/>
      <c r="R458" s="40"/>
      <c r="S458" s="40"/>
      <c r="T458" s="40"/>
      <c r="U458" s="40"/>
      <c r="V458" s="48"/>
      <c r="W458" s="48"/>
      <c r="X458" s="48"/>
      <c r="Y458" s="48"/>
      <c r="Z458" s="48"/>
      <c r="AA458" s="48"/>
      <c r="AB458" s="48"/>
      <c r="AC458" s="48"/>
      <c r="AD458" s="35"/>
      <c r="AE458" s="48"/>
      <c r="AF458" s="48"/>
      <c r="AG458" s="48"/>
      <c r="AH458" s="48"/>
      <c r="AI458" s="49"/>
    </row>
    <row r="459" spans="1:35" x14ac:dyDescent="0.25">
      <c r="A459" s="48">
        <v>123</v>
      </c>
      <c r="B459" s="166" t="s">
        <v>633</v>
      </c>
      <c r="C459" s="166" t="s">
        <v>623</v>
      </c>
      <c r="D459" s="138">
        <f t="shared" si="20"/>
        <v>31849</v>
      </c>
      <c r="E459" s="48">
        <v>10000</v>
      </c>
      <c r="F459" s="48"/>
      <c r="G459" s="35"/>
      <c r="H459" s="35">
        <v>5520</v>
      </c>
      <c r="I459" s="35">
        <f>1415*6+3-64</f>
        <v>8429</v>
      </c>
      <c r="J459" s="35"/>
      <c r="K459" s="35"/>
      <c r="L459" s="35"/>
      <c r="M459" s="48"/>
      <c r="N459" s="48"/>
      <c r="O459" s="48"/>
      <c r="P459" s="48"/>
      <c r="Q459" s="35"/>
      <c r="R459" s="40"/>
      <c r="S459" s="40"/>
      <c r="T459" s="40"/>
      <c r="U459" s="40"/>
      <c r="V459" s="48"/>
      <c r="W459" s="48"/>
      <c r="X459" s="48"/>
      <c r="Y459" s="48"/>
      <c r="Z459" s="48">
        <f>867*6</f>
        <v>5202</v>
      </c>
      <c r="AA459" s="48">
        <f>416*6+2</f>
        <v>2498</v>
      </c>
      <c r="AB459" s="48"/>
      <c r="AC459" s="48"/>
      <c r="AD459" s="35"/>
      <c r="AE459" s="48"/>
      <c r="AF459" s="48"/>
      <c r="AG459" s="48"/>
      <c r="AH459" s="48">
        <f>34*6-4</f>
        <v>200</v>
      </c>
      <c r="AI459" s="48"/>
    </row>
    <row r="460" spans="1:35" x14ac:dyDescent="0.25">
      <c r="A460" s="48">
        <v>124</v>
      </c>
      <c r="B460" s="166" t="s">
        <v>634</v>
      </c>
      <c r="C460" s="166" t="s">
        <v>624</v>
      </c>
      <c r="D460" s="138">
        <f t="shared" si="20"/>
        <v>5000</v>
      </c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48"/>
      <c r="Q460" s="35"/>
      <c r="R460" s="40"/>
      <c r="S460" s="137"/>
      <c r="T460" s="137"/>
      <c r="U460" s="40"/>
      <c r="V460" s="137"/>
      <c r="W460" s="137"/>
      <c r="X460" s="137"/>
      <c r="Y460" s="137"/>
      <c r="Z460" s="137"/>
      <c r="AA460" s="137"/>
      <c r="AB460" s="137"/>
      <c r="AC460" s="137"/>
      <c r="AD460" s="35"/>
      <c r="AE460" s="137"/>
      <c r="AF460" s="137">
        <f>60*36</f>
        <v>2160</v>
      </c>
      <c r="AG460" s="48">
        <v>2568</v>
      </c>
      <c r="AH460" s="137">
        <f>8*36-16</f>
        <v>272</v>
      </c>
      <c r="AI460" s="137"/>
    </row>
    <row r="461" spans="1:35" x14ac:dyDescent="0.25">
      <c r="A461" s="48">
        <v>125</v>
      </c>
      <c r="B461" s="166" t="s">
        <v>510</v>
      </c>
      <c r="C461" s="166" t="s">
        <v>509</v>
      </c>
      <c r="D461" s="138">
        <f t="shared" si="20"/>
        <v>3118</v>
      </c>
      <c r="E461" s="48"/>
      <c r="F461" s="48"/>
      <c r="G461" s="35"/>
      <c r="H461" s="35"/>
      <c r="I461" s="35"/>
      <c r="J461" s="35"/>
      <c r="K461" s="35"/>
      <c r="L461" s="35"/>
      <c r="M461" s="48"/>
      <c r="N461" s="48"/>
      <c r="O461" s="48">
        <v>1008</v>
      </c>
      <c r="P461" s="48"/>
      <c r="Q461" s="35"/>
      <c r="R461" s="40"/>
      <c r="S461" s="40"/>
      <c r="T461" s="40"/>
      <c r="U461" s="40"/>
      <c r="V461" s="48"/>
      <c r="W461" s="48"/>
      <c r="X461" s="48"/>
      <c r="Y461" s="48">
        <v>2110</v>
      </c>
      <c r="Z461" s="48"/>
      <c r="AA461" s="48"/>
      <c r="AB461" s="48"/>
      <c r="AC461" s="48"/>
      <c r="AD461" s="35"/>
      <c r="AE461" s="48"/>
      <c r="AF461" s="48"/>
      <c r="AG461" s="48"/>
      <c r="AH461" s="48"/>
      <c r="AI461" s="48"/>
    </row>
    <row r="462" spans="1:35" x14ac:dyDescent="0.25">
      <c r="A462" s="48">
        <v>126</v>
      </c>
      <c r="B462" s="166" t="s">
        <v>637</v>
      </c>
      <c r="C462" s="166" t="s">
        <v>635</v>
      </c>
      <c r="D462" s="138">
        <f t="shared" si="20"/>
        <v>60000</v>
      </c>
      <c r="E462" s="48"/>
      <c r="F462" s="48"/>
      <c r="G462" s="35"/>
      <c r="H462" s="35"/>
      <c r="I462" s="35"/>
      <c r="J462" s="35"/>
      <c r="K462" s="35"/>
      <c r="L462" s="35">
        <f>400*30</f>
        <v>12000</v>
      </c>
      <c r="M462" s="48">
        <v>18000</v>
      </c>
      <c r="N462" s="48">
        <f>17*30</f>
        <v>510</v>
      </c>
      <c r="O462" s="48">
        <v>29490</v>
      </c>
      <c r="P462" s="48"/>
      <c r="Q462" s="35"/>
      <c r="R462" s="40"/>
      <c r="S462" s="40"/>
      <c r="T462" s="40"/>
      <c r="U462" s="40"/>
      <c r="V462" s="48"/>
      <c r="W462" s="48"/>
      <c r="X462" s="48"/>
      <c r="Y462" s="48"/>
      <c r="Z462" s="48"/>
      <c r="AA462" s="48"/>
      <c r="AB462" s="48"/>
      <c r="AC462" s="48"/>
      <c r="AD462" s="35"/>
      <c r="AE462" s="48"/>
      <c r="AF462" s="48"/>
      <c r="AG462" s="48"/>
      <c r="AH462" s="48"/>
      <c r="AI462" s="48"/>
    </row>
    <row r="463" spans="1:35" x14ac:dyDescent="0.25">
      <c r="A463" s="48">
        <v>127</v>
      </c>
      <c r="B463" s="176" t="s">
        <v>1169</v>
      </c>
      <c r="C463" s="176" t="s">
        <v>1168</v>
      </c>
      <c r="D463" s="138">
        <f t="shared" si="20"/>
        <v>11000</v>
      </c>
      <c r="E463" s="48"/>
      <c r="F463" s="48"/>
      <c r="G463" s="35"/>
      <c r="H463" s="35"/>
      <c r="I463" s="35"/>
      <c r="J463" s="35"/>
      <c r="K463" s="35"/>
      <c r="L463" s="35"/>
      <c r="M463" s="48"/>
      <c r="N463" s="48"/>
      <c r="O463" s="48"/>
      <c r="P463" s="48"/>
      <c r="Q463" s="35"/>
      <c r="R463" s="40"/>
      <c r="S463" s="40"/>
      <c r="T463" s="40"/>
      <c r="U463" s="40"/>
      <c r="V463" s="48"/>
      <c r="W463" s="48"/>
      <c r="X463" s="48"/>
      <c r="Y463" s="48"/>
      <c r="Z463" s="48"/>
      <c r="AA463" s="48"/>
      <c r="AB463" s="48"/>
      <c r="AC463" s="48">
        <f>328*30</f>
        <v>9840</v>
      </c>
      <c r="AD463" s="35">
        <v>1160</v>
      </c>
      <c r="AE463" s="48"/>
      <c r="AF463" s="48"/>
      <c r="AG463" s="48"/>
      <c r="AH463" s="48"/>
      <c r="AI463" s="48"/>
    </row>
    <row r="464" spans="1:35" x14ac:dyDescent="0.25">
      <c r="A464" s="48">
        <v>128</v>
      </c>
      <c r="B464" s="176" t="s">
        <v>1171</v>
      </c>
      <c r="C464" s="176" t="s">
        <v>1170</v>
      </c>
      <c r="D464" s="138">
        <f t="shared" si="20"/>
        <v>800</v>
      </c>
      <c r="E464" s="48"/>
      <c r="F464" s="48"/>
      <c r="G464" s="35"/>
      <c r="H464" s="35"/>
      <c r="I464" s="35"/>
      <c r="J464" s="35"/>
      <c r="K464" s="35"/>
      <c r="L464" s="35"/>
      <c r="M464" s="48"/>
      <c r="N464" s="48"/>
      <c r="O464" s="48"/>
      <c r="P464" s="48"/>
      <c r="Q464" s="35"/>
      <c r="R464" s="40"/>
      <c r="S464" s="40"/>
      <c r="T464" s="40"/>
      <c r="U464" s="40"/>
      <c r="V464" s="48"/>
      <c r="W464" s="48"/>
      <c r="X464" s="48"/>
      <c r="Y464" s="48"/>
      <c r="Z464" s="48"/>
      <c r="AA464" s="48"/>
      <c r="AB464" s="48"/>
      <c r="AC464" s="48"/>
      <c r="AD464" s="35">
        <v>800</v>
      </c>
      <c r="AE464" s="48"/>
      <c r="AF464" s="48"/>
      <c r="AG464" s="48"/>
      <c r="AH464" s="48"/>
      <c r="AI464" s="48"/>
    </row>
    <row r="465" spans="1:35" x14ac:dyDescent="0.25">
      <c r="A465" s="48">
        <v>129</v>
      </c>
      <c r="B465" s="166" t="s">
        <v>638</v>
      </c>
      <c r="C465" s="166" t="s">
        <v>636</v>
      </c>
      <c r="D465" s="138">
        <f t="shared" ref="D465:D494" si="21">SUM(E465:AI465)</f>
        <v>950</v>
      </c>
      <c r="E465" s="48"/>
      <c r="F465" s="48"/>
      <c r="G465" s="35"/>
      <c r="H465" s="35"/>
      <c r="I465" s="35"/>
      <c r="J465" s="35"/>
      <c r="K465" s="35"/>
      <c r="L465" s="35"/>
      <c r="M465" s="48"/>
      <c r="N465" s="48"/>
      <c r="O465" s="48"/>
      <c r="P465" s="48"/>
      <c r="Q465" s="35"/>
      <c r="R465" s="40"/>
      <c r="S465" s="40"/>
      <c r="T465" s="40"/>
      <c r="U465" s="40"/>
      <c r="V465" s="48"/>
      <c r="W465" s="48"/>
      <c r="X465" s="48"/>
      <c r="Y465" s="48"/>
      <c r="Z465" s="48"/>
      <c r="AA465" s="48"/>
      <c r="AB465" s="48"/>
      <c r="AC465" s="48"/>
      <c r="AD465" s="35"/>
      <c r="AE465" s="48"/>
      <c r="AF465" s="48"/>
      <c r="AG465" s="48">
        <v>950</v>
      </c>
      <c r="AH465" s="48"/>
      <c r="AI465" s="48"/>
    </row>
    <row r="466" spans="1:35" x14ac:dyDescent="0.25">
      <c r="A466" s="48">
        <v>130</v>
      </c>
      <c r="B466" s="166" t="s">
        <v>685</v>
      </c>
      <c r="C466" s="166" t="s">
        <v>684</v>
      </c>
      <c r="D466" s="138">
        <f t="shared" si="21"/>
        <v>12500</v>
      </c>
      <c r="E466" s="48"/>
      <c r="F466" s="48"/>
      <c r="G466" s="35"/>
      <c r="H466" s="35"/>
      <c r="I466" s="35"/>
      <c r="J466" s="35"/>
      <c r="K466" s="35"/>
      <c r="L466" s="35"/>
      <c r="M466" s="48"/>
      <c r="N466" s="48"/>
      <c r="O466" s="48"/>
      <c r="P466" s="48"/>
      <c r="Q466" s="35"/>
      <c r="R466" s="40"/>
      <c r="S466" s="40"/>
      <c r="T466" s="40"/>
      <c r="U466" s="40">
        <v>12500</v>
      </c>
      <c r="V466" s="48"/>
      <c r="W466" s="48"/>
      <c r="X466" s="48"/>
      <c r="Y466" s="48"/>
      <c r="Z466" s="48"/>
      <c r="AA466" s="48"/>
      <c r="AB466" s="48"/>
      <c r="AC466" s="48"/>
      <c r="AD466" s="35"/>
      <c r="AE466" s="48"/>
      <c r="AF466" s="48"/>
      <c r="AG466" s="48"/>
      <c r="AH466" s="48"/>
      <c r="AI466" s="48"/>
    </row>
    <row r="467" spans="1:35" x14ac:dyDescent="0.25">
      <c r="A467" s="48">
        <v>131</v>
      </c>
      <c r="B467" s="166" t="s">
        <v>512</v>
      </c>
      <c r="C467" s="166" t="s">
        <v>511</v>
      </c>
      <c r="D467" s="138">
        <f t="shared" si="21"/>
        <v>1750</v>
      </c>
      <c r="E467" s="48"/>
      <c r="F467" s="48"/>
      <c r="G467" s="35"/>
      <c r="H467" s="35"/>
      <c r="I467" s="35"/>
      <c r="J467" s="35"/>
      <c r="K467" s="35"/>
      <c r="L467" s="35"/>
      <c r="M467" s="48"/>
      <c r="N467" s="48"/>
      <c r="O467" s="48"/>
      <c r="P467" s="48"/>
      <c r="Q467" s="35"/>
      <c r="R467" s="40"/>
      <c r="S467" s="40"/>
      <c r="T467" s="40"/>
      <c r="U467" s="40"/>
      <c r="V467" s="48"/>
      <c r="W467" s="48"/>
      <c r="X467" s="48"/>
      <c r="Y467" s="48"/>
      <c r="Z467" s="48"/>
      <c r="AA467" s="48">
        <v>1750</v>
      </c>
      <c r="AB467" s="48"/>
      <c r="AC467" s="48"/>
      <c r="AD467" s="35"/>
      <c r="AE467" s="48"/>
      <c r="AF467" s="48"/>
      <c r="AG467" s="48"/>
      <c r="AH467" s="48"/>
      <c r="AI467" s="48"/>
    </row>
    <row r="468" spans="1:35" x14ac:dyDescent="0.25">
      <c r="A468" s="48">
        <v>132</v>
      </c>
      <c r="B468" s="166" t="s">
        <v>535</v>
      </c>
      <c r="C468" s="166" t="s">
        <v>534</v>
      </c>
      <c r="D468" s="138">
        <f t="shared" si="21"/>
        <v>8500</v>
      </c>
      <c r="E468" s="48"/>
      <c r="F468" s="48"/>
      <c r="G468" s="35"/>
      <c r="H468" s="35"/>
      <c r="I468" s="35"/>
      <c r="J468" s="35"/>
      <c r="K468" s="35"/>
      <c r="L468" s="35"/>
      <c r="M468" s="48"/>
      <c r="N468" s="48"/>
      <c r="O468" s="48"/>
      <c r="P468" s="48"/>
      <c r="Q468" s="35"/>
      <c r="R468" s="40"/>
      <c r="S468" s="40"/>
      <c r="T468" s="40"/>
      <c r="U468" s="40"/>
      <c r="V468" s="48"/>
      <c r="W468" s="48"/>
      <c r="X468" s="48"/>
      <c r="Y468" s="48"/>
      <c r="Z468" s="48"/>
      <c r="AA468" s="48"/>
      <c r="AB468" s="48"/>
      <c r="AC468" s="48"/>
      <c r="AD468" s="35"/>
      <c r="AE468" s="48"/>
      <c r="AF468" s="48"/>
      <c r="AG468" s="48"/>
      <c r="AH468" s="48"/>
      <c r="AI468" s="48">
        <v>8500</v>
      </c>
    </row>
    <row r="469" spans="1:35" x14ac:dyDescent="0.25">
      <c r="A469" s="48">
        <v>133</v>
      </c>
      <c r="B469" s="166" t="s">
        <v>536</v>
      </c>
      <c r="C469" s="166" t="s">
        <v>537</v>
      </c>
      <c r="D469" s="138">
        <f t="shared" si="21"/>
        <v>18100</v>
      </c>
      <c r="E469" s="48"/>
      <c r="F469" s="48"/>
      <c r="G469" s="35"/>
      <c r="H469" s="35"/>
      <c r="I469" s="35"/>
      <c r="J469" s="35"/>
      <c r="K469" s="35"/>
      <c r="L469" s="35"/>
      <c r="M469" s="48"/>
      <c r="N469" s="48"/>
      <c r="O469" s="48">
        <f>236*16</f>
        <v>3776</v>
      </c>
      <c r="P469" s="48">
        <f>395*16</f>
        <v>6320</v>
      </c>
      <c r="Q469" s="35"/>
      <c r="R469" s="40"/>
      <c r="S469" s="40"/>
      <c r="T469" s="40"/>
      <c r="U469" s="40"/>
      <c r="V469" s="48"/>
      <c r="W469" s="48"/>
      <c r="X469" s="48"/>
      <c r="Y469" s="48"/>
      <c r="Z469" s="48"/>
      <c r="AA469" s="48"/>
      <c r="AB469" s="48"/>
      <c r="AC469" s="48"/>
      <c r="AD469" s="35">
        <v>4</v>
      </c>
      <c r="AE469" s="48"/>
      <c r="AF469" s="48"/>
      <c r="AG469" s="48"/>
      <c r="AH469" s="48"/>
      <c r="AI469" s="48">
        <v>8000</v>
      </c>
    </row>
    <row r="470" spans="1:35" x14ac:dyDescent="0.25">
      <c r="A470" s="48">
        <v>134</v>
      </c>
      <c r="B470" s="166" t="s">
        <v>760</v>
      </c>
      <c r="C470" s="166" t="s">
        <v>759</v>
      </c>
      <c r="D470" s="138">
        <f t="shared" si="21"/>
        <v>2000</v>
      </c>
      <c r="E470" s="137"/>
      <c r="F470" s="137"/>
      <c r="G470" s="137">
        <v>2000</v>
      </c>
      <c r="H470" s="137"/>
      <c r="I470" s="137"/>
      <c r="J470" s="137"/>
      <c r="K470" s="137"/>
      <c r="L470" s="137"/>
      <c r="M470" s="137"/>
      <c r="N470" s="137"/>
      <c r="O470" s="137"/>
      <c r="P470" s="48"/>
      <c r="Q470" s="35"/>
      <c r="R470" s="137"/>
      <c r="S470" s="137"/>
      <c r="T470" s="137"/>
      <c r="U470" s="137"/>
      <c r="V470" s="137"/>
      <c r="W470" s="137"/>
      <c r="X470" s="48"/>
      <c r="Y470" s="48"/>
      <c r="Z470" s="48"/>
      <c r="AA470" s="137"/>
      <c r="AB470" s="137"/>
      <c r="AC470" s="137"/>
      <c r="AD470" s="35"/>
      <c r="AE470" s="137"/>
      <c r="AF470" s="137"/>
      <c r="AG470" s="137"/>
      <c r="AH470" s="137"/>
      <c r="AI470" s="137"/>
    </row>
    <row r="471" spans="1:35" x14ac:dyDescent="0.25">
      <c r="A471" s="48">
        <v>135</v>
      </c>
      <c r="B471" s="176" t="s">
        <v>1050</v>
      </c>
      <c r="C471" s="176" t="s">
        <v>1047</v>
      </c>
      <c r="D471" s="138">
        <f t="shared" si="21"/>
        <v>3010</v>
      </c>
      <c r="E471" s="48"/>
      <c r="F471" s="48"/>
      <c r="G471" s="35"/>
      <c r="H471" s="35"/>
      <c r="I471" s="35"/>
      <c r="J471" s="35"/>
      <c r="K471" s="35"/>
      <c r="L471" s="35"/>
      <c r="M471" s="48"/>
      <c r="N471" s="48"/>
      <c r="O471" s="48"/>
      <c r="P471" s="48"/>
      <c r="Q471" s="35"/>
      <c r="R471" s="40"/>
      <c r="S471" s="40"/>
      <c r="T471" s="40"/>
      <c r="U471" s="40">
        <f>175*6+1950</f>
        <v>3000</v>
      </c>
      <c r="V471" s="48"/>
      <c r="W471" s="48"/>
      <c r="X471" s="48"/>
      <c r="Y471" s="48"/>
      <c r="Z471" s="48"/>
      <c r="AA471" s="48"/>
      <c r="AB471" s="48">
        <v>10</v>
      </c>
      <c r="AC471" s="48"/>
      <c r="AD471" s="35"/>
      <c r="AE471" s="48"/>
      <c r="AF471" s="48"/>
      <c r="AG471" s="48"/>
      <c r="AH471" s="48"/>
      <c r="AI471" s="48"/>
    </row>
    <row r="472" spans="1:35" x14ac:dyDescent="0.25">
      <c r="A472" s="48">
        <v>136</v>
      </c>
      <c r="B472" s="176" t="s">
        <v>1051</v>
      </c>
      <c r="C472" s="176" t="s">
        <v>1048</v>
      </c>
      <c r="D472" s="138">
        <f t="shared" si="21"/>
        <v>2528</v>
      </c>
      <c r="E472" s="48"/>
      <c r="F472" s="48"/>
      <c r="G472" s="35"/>
      <c r="H472" s="35"/>
      <c r="I472" s="35"/>
      <c r="J472" s="35"/>
      <c r="K472" s="35"/>
      <c r="L472" s="35"/>
      <c r="M472" s="48"/>
      <c r="N472" s="48"/>
      <c r="O472" s="48"/>
      <c r="P472" s="48"/>
      <c r="Q472" s="35"/>
      <c r="R472" s="40"/>
      <c r="S472" s="40"/>
      <c r="T472" s="40"/>
      <c r="U472" s="40"/>
      <c r="V472" s="48">
        <f>1264*2</f>
        <v>2528</v>
      </c>
      <c r="W472" s="48"/>
      <c r="X472" s="48"/>
      <c r="Y472" s="48"/>
      <c r="Z472" s="48"/>
      <c r="AA472" s="48"/>
      <c r="AB472" s="48"/>
      <c r="AC472" s="48"/>
      <c r="AD472" s="35"/>
      <c r="AE472" s="48"/>
      <c r="AF472" s="48"/>
      <c r="AG472" s="48"/>
      <c r="AH472" s="48"/>
      <c r="AI472" s="48"/>
    </row>
    <row r="473" spans="1:35" x14ac:dyDescent="0.25">
      <c r="A473" s="48">
        <v>137</v>
      </c>
      <c r="B473" s="176" t="s">
        <v>1052</v>
      </c>
      <c r="C473" s="176" t="s">
        <v>1049</v>
      </c>
      <c r="D473" s="138">
        <f t="shared" si="21"/>
        <v>600</v>
      </c>
      <c r="E473" s="48"/>
      <c r="F473" s="48"/>
      <c r="G473" s="35"/>
      <c r="H473" s="35"/>
      <c r="I473" s="35"/>
      <c r="J473" s="35"/>
      <c r="K473" s="35"/>
      <c r="L473" s="35"/>
      <c r="M473" s="48"/>
      <c r="N473" s="48"/>
      <c r="O473" s="48"/>
      <c r="P473" s="48"/>
      <c r="Q473" s="35"/>
      <c r="R473" s="40"/>
      <c r="S473" s="40"/>
      <c r="T473" s="40"/>
      <c r="U473" s="40"/>
      <c r="V473" s="48">
        <f>300*2</f>
        <v>600</v>
      </c>
      <c r="W473" s="48"/>
      <c r="X473" s="48"/>
      <c r="Y473" s="48"/>
      <c r="Z473" s="48"/>
      <c r="AA473" s="48"/>
      <c r="AB473" s="48"/>
      <c r="AC473" s="48"/>
      <c r="AD473" s="35"/>
      <c r="AE473" s="48"/>
      <c r="AF473" s="48"/>
      <c r="AG473" s="48"/>
      <c r="AH473" s="48"/>
      <c r="AI473" s="48"/>
    </row>
    <row r="474" spans="1:35" x14ac:dyDescent="0.25">
      <c r="A474" s="48">
        <v>138</v>
      </c>
      <c r="B474" s="176" t="s">
        <v>1054</v>
      </c>
      <c r="C474" s="176" t="s">
        <v>1053</v>
      </c>
      <c r="D474" s="138">
        <f t="shared" si="21"/>
        <v>108500</v>
      </c>
      <c r="E474" s="48"/>
      <c r="F474" s="48"/>
      <c r="G474" s="35"/>
      <c r="H474" s="35"/>
      <c r="I474" s="35"/>
      <c r="J474" s="35"/>
      <c r="K474" s="35"/>
      <c r="L474" s="35"/>
      <c r="M474" s="48"/>
      <c r="N474" s="48"/>
      <c r="O474" s="48"/>
      <c r="P474" s="48"/>
      <c r="Q474" s="35">
        <v>23700</v>
      </c>
      <c r="R474" s="40"/>
      <c r="S474" s="40"/>
      <c r="T474" s="40"/>
      <c r="U474" s="40"/>
      <c r="V474" s="48"/>
      <c r="W474" s="48"/>
      <c r="X474" s="48">
        <f>500*30</f>
        <v>15000</v>
      </c>
      <c r="Y474" s="48">
        <f>455*30+235*30</f>
        <v>20700</v>
      </c>
      <c r="Z474" s="48">
        <v>4300</v>
      </c>
      <c r="AA474" s="48"/>
      <c r="AB474" s="48"/>
      <c r="AC474" s="48">
        <f>90*30+343*30</f>
        <v>12990</v>
      </c>
      <c r="AD474" s="35">
        <f>145*30</f>
        <v>4350</v>
      </c>
      <c r="AE474" s="48">
        <f>400*30+248*30</f>
        <v>19440</v>
      </c>
      <c r="AF474" s="48">
        <v>8020</v>
      </c>
      <c r="AG474" s="48"/>
      <c r="AH474" s="48"/>
      <c r="AI474" s="48"/>
    </row>
    <row r="475" spans="1:35" x14ac:dyDescent="0.25">
      <c r="A475" s="48">
        <v>139</v>
      </c>
      <c r="B475" s="176" t="s">
        <v>889</v>
      </c>
      <c r="C475" s="176" t="s">
        <v>888</v>
      </c>
      <c r="D475" s="138">
        <f t="shared" si="21"/>
        <v>9200</v>
      </c>
      <c r="E475" s="48"/>
      <c r="F475" s="48"/>
      <c r="G475" s="35"/>
      <c r="H475" s="35"/>
      <c r="I475" s="35"/>
      <c r="J475" s="35"/>
      <c r="K475" s="35"/>
      <c r="L475" s="35"/>
      <c r="M475" s="48"/>
      <c r="N475" s="48"/>
      <c r="O475" s="48">
        <f>350*6</f>
        <v>2100</v>
      </c>
      <c r="P475" s="48">
        <f>509*6</f>
        <v>3054</v>
      </c>
      <c r="Q475" s="35"/>
      <c r="R475" s="40"/>
      <c r="S475" s="40"/>
      <c r="T475" s="40"/>
      <c r="U475" s="40"/>
      <c r="V475" s="48"/>
      <c r="W475" s="48"/>
      <c r="X475" s="48">
        <f>420*6</f>
        <v>2520</v>
      </c>
      <c r="Y475" s="48">
        <v>1500</v>
      </c>
      <c r="Z475" s="48"/>
      <c r="AA475" s="48"/>
      <c r="AB475" s="48">
        <v>26</v>
      </c>
      <c r="AC475" s="48"/>
      <c r="AD475" s="35"/>
      <c r="AE475" s="48"/>
      <c r="AF475" s="48"/>
      <c r="AG475" s="48"/>
      <c r="AH475" s="48"/>
      <c r="AI475" s="48"/>
    </row>
    <row r="476" spans="1:35" x14ac:dyDescent="0.25">
      <c r="A476" s="48">
        <v>140</v>
      </c>
      <c r="B476" s="176" t="s">
        <v>891</v>
      </c>
      <c r="C476" s="176" t="s">
        <v>890</v>
      </c>
      <c r="D476" s="138">
        <f t="shared" si="21"/>
        <v>8000</v>
      </c>
      <c r="E476" s="48"/>
      <c r="F476" s="48"/>
      <c r="G476" s="35"/>
      <c r="H476" s="35"/>
      <c r="I476" s="35"/>
      <c r="J476" s="35"/>
      <c r="K476" s="35"/>
      <c r="L476" s="35"/>
      <c r="M476" s="48"/>
      <c r="N476" s="48"/>
      <c r="O476" s="48"/>
      <c r="P476" s="48"/>
      <c r="Q476" s="35"/>
      <c r="R476" s="40"/>
      <c r="S476" s="40"/>
      <c r="T476" s="40"/>
      <c r="U476" s="40">
        <v>5000</v>
      </c>
      <c r="V476" s="48"/>
      <c r="W476" s="48"/>
      <c r="X476" s="48"/>
      <c r="Y476" s="48"/>
      <c r="Z476" s="48"/>
      <c r="AA476" s="48">
        <v>3000</v>
      </c>
      <c r="AB476" s="48"/>
      <c r="AC476" s="48"/>
      <c r="AD476" s="35"/>
      <c r="AE476" s="48"/>
      <c r="AF476" s="48"/>
      <c r="AG476" s="48"/>
      <c r="AH476" s="48"/>
      <c r="AI476" s="48"/>
    </row>
    <row r="477" spans="1:35" x14ac:dyDescent="0.25">
      <c r="A477" s="48">
        <v>141</v>
      </c>
      <c r="B477" s="166" t="s">
        <v>529</v>
      </c>
      <c r="C477" s="166" t="s">
        <v>528</v>
      </c>
      <c r="D477" s="138">
        <f t="shared" si="21"/>
        <v>0</v>
      </c>
      <c r="E477" s="48"/>
      <c r="F477" s="48"/>
      <c r="G477" s="35"/>
      <c r="H477" s="35"/>
      <c r="I477" s="35"/>
      <c r="J477" s="35"/>
      <c r="K477" s="35"/>
      <c r="L477" s="35"/>
      <c r="M477" s="48"/>
      <c r="N477" s="48"/>
      <c r="O477" s="48"/>
      <c r="P477" s="48"/>
      <c r="Q477" s="35"/>
      <c r="R477" s="40"/>
      <c r="S477" s="40"/>
      <c r="T477" s="40"/>
      <c r="U477" s="40"/>
      <c r="V477" s="48"/>
      <c r="W477" s="48"/>
      <c r="X477" s="48"/>
      <c r="Y477" s="48"/>
      <c r="Z477" s="48"/>
      <c r="AA477" s="48"/>
      <c r="AB477" s="48"/>
      <c r="AC477" s="48"/>
      <c r="AD477" s="35"/>
      <c r="AE477" s="48"/>
      <c r="AF477" s="48"/>
      <c r="AG477" s="48"/>
      <c r="AH477" s="48"/>
      <c r="AI477" s="48"/>
    </row>
    <row r="478" spans="1:35" x14ac:dyDescent="0.25">
      <c r="A478" s="48">
        <v>142</v>
      </c>
      <c r="B478" s="166" t="s">
        <v>368</v>
      </c>
      <c r="C478" s="166" t="s">
        <v>367</v>
      </c>
      <c r="D478" s="138">
        <f t="shared" si="21"/>
        <v>8000</v>
      </c>
      <c r="E478" s="48"/>
      <c r="F478" s="48"/>
      <c r="G478" s="35"/>
      <c r="H478" s="35"/>
      <c r="I478" s="35"/>
      <c r="J478" s="35"/>
      <c r="K478" s="35"/>
      <c r="L478" s="35"/>
      <c r="M478" s="48"/>
      <c r="N478" s="48"/>
      <c r="O478" s="48"/>
      <c r="P478" s="48"/>
      <c r="Q478" s="35"/>
      <c r="R478" s="40"/>
      <c r="S478" s="40"/>
      <c r="T478" s="40"/>
      <c r="U478" s="40">
        <v>3000</v>
      </c>
      <c r="V478" s="48"/>
      <c r="W478" s="48"/>
      <c r="X478" s="48"/>
      <c r="Y478" s="48"/>
      <c r="Z478" s="48"/>
      <c r="AA478" s="48">
        <v>5000</v>
      </c>
      <c r="AB478" s="48"/>
      <c r="AC478" s="48"/>
      <c r="AD478" s="35"/>
      <c r="AE478" s="48"/>
      <c r="AF478" s="48"/>
      <c r="AG478" s="48"/>
      <c r="AH478" s="48"/>
      <c r="AI478" s="48"/>
    </row>
    <row r="479" spans="1:35" x14ac:dyDescent="0.25">
      <c r="A479" s="48">
        <v>143</v>
      </c>
      <c r="B479" s="176" t="s">
        <v>1118</v>
      </c>
      <c r="C479" s="176" t="s">
        <v>1117</v>
      </c>
      <c r="D479" s="138">
        <f t="shared" si="21"/>
        <v>2000</v>
      </c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48"/>
      <c r="Q479" s="35"/>
      <c r="R479" s="137"/>
      <c r="S479" s="137"/>
      <c r="T479" s="137"/>
      <c r="U479" s="137"/>
      <c r="V479" s="137"/>
      <c r="W479" s="137"/>
      <c r="X479" s="137"/>
      <c r="Y479" s="48"/>
      <c r="Z479" s="137">
        <v>2000</v>
      </c>
      <c r="AA479" s="137"/>
      <c r="AB479" s="137"/>
      <c r="AC479" s="137"/>
      <c r="AD479" s="35"/>
      <c r="AE479" s="137"/>
      <c r="AF479" s="137"/>
      <c r="AG479" s="137"/>
      <c r="AH479" s="137"/>
      <c r="AI479" s="137"/>
    </row>
    <row r="480" spans="1:35" x14ac:dyDescent="0.25">
      <c r="A480" s="48">
        <v>144</v>
      </c>
      <c r="B480" s="176" t="s">
        <v>1120</v>
      </c>
      <c r="C480" s="176" t="s">
        <v>1119</v>
      </c>
      <c r="D480" s="138">
        <f t="shared" si="21"/>
        <v>47200</v>
      </c>
      <c r="E480" s="48"/>
      <c r="F480" s="48"/>
      <c r="G480" s="35"/>
      <c r="H480" s="35"/>
      <c r="I480" s="35"/>
      <c r="J480" s="35"/>
      <c r="K480" s="35"/>
      <c r="L480" s="35"/>
      <c r="M480" s="48"/>
      <c r="N480" s="48"/>
      <c r="O480" s="48"/>
      <c r="P480" s="48"/>
      <c r="Q480" s="35"/>
      <c r="R480" s="40"/>
      <c r="S480" s="40"/>
      <c r="T480" s="40"/>
      <c r="U480" s="40"/>
      <c r="V480" s="48"/>
      <c r="W480" s="48"/>
      <c r="X480" s="48"/>
      <c r="Y480" s="48">
        <v>30000</v>
      </c>
      <c r="Z480" s="48"/>
      <c r="AA480" s="48">
        <f>60*42+297*42</f>
        <v>14994</v>
      </c>
      <c r="AB480" s="48">
        <v>6</v>
      </c>
      <c r="AC480" s="48"/>
      <c r="AD480" s="48"/>
      <c r="AE480" s="48"/>
      <c r="AF480" s="48">
        <v>2200</v>
      </c>
      <c r="AG480" s="48"/>
      <c r="AH480" s="48"/>
      <c r="AI480" s="48"/>
    </row>
    <row r="481" spans="1:35" x14ac:dyDescent="0.25">
      <c r="A481" s="48">
        <v>145</v>
      </c>
      <c r="B481" s="176" t="s">
        <v>968</v>
      </c>
      <c r="C481" s="176" t="s">
        <v>967</v>
      </c>
      <c r="D481" s="138">
        <f t="shared" si="21"/>
        <v>30000</v>
      </c>
      <c r="E481" s="48"/>
      <c r="F481" s="48"/>
      <c r="G481" s="35">
        <f>2000*15</f>
        <v>30000</v>
      </c>
      <c r="H481" s="35"/>
      <c r="I481" s="35"/>
      <c r="J481" s="35"/>
      <c r="K481" s="35"/>
      <c r="L481" s="35"/>
      <c r="M481" s="48"/>
      <c r="N481" s="48"/>
      <c r="O481" s="48"/>
      <c r="P481" s="48"/>
      <c r="Q481" s="35"/>
      <c r="R481" s="40"/>
      <c r="S481" s="40"/>
      <c r="T481" s="40"/>
      <c r="U481" s="40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</row>
    <row r="482" spans="1:35" x14ac:dyDescent="0.25">
      <c r="A482" s="48">
        <v>146</v>
      </c>
      <c r="B482" s="166" t="s">
        <v>369</v>
      </c>
      <c r="C482" s="166" t="s">
        <v>370</v>
      </c>
      <c r="D482" s="138">
        <f t="shared" si="21"/>
        <v>17334</v>
      </c>
      <c r="E482" s="48">
        <v>3534</v>
      </c>
      <c r="F482" s="48"/>
      <c r="G482" s="35">
        <f>1344*2+3520*2</f>
        <v>9728</v>
      </c>
      <c r="H482" s="35">
        <v>272</v>
      </c>
      <c r="I482" s="35"/>
      <c r="J482" s="35"/>
      <c r="K482" s="35"/>
      <c r="L482" s="35"/>
      <c r="M482" s="48"/>
      <c r="N482" s="48"/>
      <c r="O482" s="48"/>
      <c r="P482" s="48"/>
      <c r="Q482" s="35"/>
      <c r="R482" s="40"/>
      <c r="S482" s="40"/>
      <c r="T482" s="40"/>
      <c r="U482" s="40"/>
      <c r="V482" s="48"/>
      <c r="W482" s="48"/>
      <c r="X482" s="48"/>
      <c r="Y482" s="48"/>
      <c r="Z482" s="48"/>
      <c r="AA482" s="48"/>
      <c r="AB482" s="48"/>
      <c r="AC482" s="48">
        <v>3700</v>
      </c>
      <c r="AD482" s="48">
        <v>100</v>
      </c>
      <c r="AE482" s="48"/>
      <c r="AF482" s="48"/>
      <c r="AG482" s="48"/>
      <c r="AH482" s="48"/>
      <c r="AI482" s="48"/>
    </row>
    <row r="483" spans="1:35" x14ac:dyDescent="0.25">
      <c r="A483" s="48">
        <v>147</v>
      </c>
      <c r="B483" s="176" t="s">
        <v>1093</v>
      </c>
      <c r="C483" s="176" t="s">
        <v>1091</v>
      </c>
      <c r="D483" s="138">
        <f t="shared" si="21"/>
        <v>500</v>
      </c>
      <c r="E483" s="48"/>
      <c r="F483" s="48"/>
      <c r="G483" s="35"/>
      <c r="H483" s="35"/>
      <c r="I483" s="35"/>
      <c r="J483" s="35"/>
      <c r="K483" s="35"/>
      <c r="L483" s="35"/>
      <c r="M483" s="48"/>
      <c r="N483" s="48"/>
      <c r="O483" s="48"/>
      <c r="P483" s="48"/>
      <c r="Q483" s="35"/>
      <c r="R483" s="40"/>
      <c r="S483" s="40"/>
      <c r="T483" s="40"/>
      <c r="U483" s="40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>
        <v>500</v>
      </c>
      <c r="AG483" s="48"/>
      <c r="AH483" s="48"/>
      <c r="AI483" s="48"/>
    </row>
    <row r="484" spans="1:35" x14ac:dyDescent="0.25">
      <c r="A484" s="48">
        <v>148</v>
      </c>
      <c r="B484" s="176" t="s">
        <v>1094</v>
      </c>
      <c r="C484" s="176" t="s">
        <v>1092</v>
      </c>
      <c r="D484" s="138">
        <f t="shared" si="21"/>
        <v>1310</v>
      </c>
      <c r="E484" s="48"/>
      <c r="F484" s="48"/>
      <c r="G484" s="35"/>
      <c r="H484" s="35"/>
      <c r="I484" s="35"/>
      <c r="J484" s="35"/>
      <c r="K484" s="35"/>
      <c r="L484" s="35"/>
      <c r="M484" s="48"/>
      <c r="N484" s="48"/>
      <c r="O484" s="48"/>
      <c r="P484" s="48"/>
      <c r="Q484" s="35"/>
      <c r="R484" s="40"/>
      <c r="S484" s="40"/>
      <c r="T484" s="40"/>
      <c r="U484" s="40"/>
      <c r="V484" s="48"/>
      <c r="W484" s="48"/>
      <c r="X484" s="48"/>
      <c r="Y484" s="48">
        <v>1310</v>
      </c>
      <c r="Z484" s="48"/>
      <c r="AA484" s="48"/>
      <c r="AB484" s="48"/>
      <c r="AC484" s="48"/>
      <c r="AD484" s="35"/>
      <c r="AE484" s="48"/>
      <c r="AF484" s="48"/>
      <c r="AG484" s="48"/>
      <c r="AH484" s="48"/>
      <c r="AI484" s="48"/>
    </row>
    <row r="485" spans="1:35" x14ac:dyDescent="0.25">
      <c r="A485" s="48">
        <v>149</v>
      </c>
      <c r="B485" s="166" t="s">
        <v>437</v>
      </c>
      <c r="C485" s="166" t="s">
        <v>436</v>
      </c>
      <c r="D485" s="138">
        <f t="shared" si="21"/>
        <v>0</v>
      </c>
      <c r="E485" s="48"/>
      <c r="F485" s="48"/>
      <c r="G485" s="35"/>
      <c r="H485" s="35"/>
      <c r="I485" s="35"/>
      <c r="J485" s="35"/>
      <c r="K485" s="35"/>
      <c r="L485" s="35"/>
      <c r="M485" s="48"/>
      <c r="N485" s="48"/>
      <c r="O485" s="48"/>
      <c r="P485" s="48"/>
      <c r="Q485" s="35"/>
      <c r="R485" s="40"/>
      <c r="S485" s="40"/>
      <c r="T485" s="40"/>
      <c r="U485" s="40"/>
      <c r="V485" s="48"/>
      <c r="W485" s="48"/>
      <c r="X485" s="48"/>
      <c r="Y485" s="48"/>
      <c r="Z485" s="48"/>
      <c r="AA485" s="48"/>
      <c r="AB485" s="48"/>
      <c r="AC485" s="48"/>
      <c r="AD485" s="35"/>
      <c r="AE485" s="48"/>
      <c r="AF485" s="48"/>
      <c r="AG485" s="48"/>
      <c r="AH485" s="48"/>
      <c r="AI485" s="48"/>
    </row>
    <row r="486" spans="1:35" x14ac:dyDescent="0.25">
      <c r="A486" s="48">
        <v>150</v>
      </c>
      <c r="B486" s="166" t="s">
        <v>440</v>
      </c>
      <c r="C486" s="166" t="s">
        <v>438</v>
      </c>
      <c r="D486" s="138">
        <f t="shared" si="21"/>
        <v>5500</v>
      </c>
      <c r="E486" s="48"/>
      <c r="F486" s="48"/>
      <c r="G486" s="35"/>
      <c r="H486" s="35">
        <v>1000</v>
      </c>
      <c r="I486" s="35"/>
      <c r="J486" s="35"/>
      <c r="K486" s="35"/>
      <c r="L486" s="35"/>
      <c r="M486" s="48"/>
      <c r="N486" s="48"/>
      <c r="O486" s="48">
        <v>500</v>
      </c>
      <c r="P486" s="48"/>
      <c r="Q486" s="35"/>
      <c r="R486" s="40"/>
      <c r="S486" s="40"/>
      <c r="T486" s="40"/>
      <c r="U486" s="40">
        <v>4000</v>
      </c>
      <c r="V486" s="48"/>
      <c r="W486" s="48"/>
      <c r="X486" s="48"/>
      <c r="Y486" s="48"/>
      <c r="Z486" s="48"/>
      <c r="AA486" s="48"/>
      <c r="AB486" s="48"/>
      <c r="AC486" s="48"/>
      <c r="AD486" s="35"/>
      <c r="AE486" s="48"/>
      <c r="AF486" s="48"/>
      <c r="AG486" s="48"/>
      <c r="AH486" s="48"/>
      <c r="AI486" s="48"/>
    </row>
    <row r="487" spans="1:35" x14ac:dyDescent="0.25">
      <c r="A487" s="48">
        <v>151</v>
      </c>
      <c r="B487" s="166" t="s">
        <v>441</v>
      </c>
      <c r="C487" s="166" t="s">
        <v>439</v>
      </c>
      <c r="D487" s="138">
        <f t="shared" si="21"/>
        <v>68000</v>
      </c>
      <c r="E487" s="48"/>
      <c r="F487" s="48"/>
      <c r="G487" s="35"/>
      <c r="H487" s="35">
        <v>7050</v>
      </c>
      <c r="I487" s="35"/>
      <c r="J487" s="35">
        <v>3950</v>
      </c>
      <c r="K487" s="35"/>
      <c r="L487" s="35"/>
      <c r="M487" s="48"/>
      <c r="N487" s="48"/>
      <c r="O487" s="48">
        <v>6000</v>
      </c>
      <c r="P487" s="48"/>
      <c r="Q487" s="35"/>
      <c r="R487" s="40"/>
      <c r="S487" s="40"/>
      <c r="T487" s="40"/>
      <c r="U487" s="40">
        <v>20000</v>
      </c>
      <c r="V487" s="48">
        <f>235*30</f>
        <v>7050</v>
      </c>
      <c r="W487" s="48">
        <f>431*20+4190</f>
        <v>12810</v>
      </c>
      <c r="X487" s="48">
        <f>233*30+134*30</f>
        <v>11010</v>
      </c>
      <c r="Y487" s="48"/>
      <c r="Z487" s="48">
        <v>130</v>
      </c>
      <c r="AA487" s="48"/>
      <c r="AB487" s="48"/>
      <c r="AC487" s="48"/>
      <c r="AD487" s="35"/>
      <c r="AE487" s="48"/>
      <c r="AF487" s="48"/>
      <c r="AG487" s="48"/>
      <c r="AH487" s="48"/>
      <c r="AI487" s="48"/>
    </row>
    <row r="488" spans="1:35" x14ac:dyDescent="0.25">
      <c r="A488" s="48">
        <v>152</v>
      </c>
      <c r="B488" s="176" t="s">
        <v>989</v>
      </c>
      <c r="C488" s="176" t="s">
        <v>987</v>
      </c>
      <c r="D488" s="138">
        <f t="shared" si="21"/>
        <v>500</v>
      </c>
      <c r="E488" s="48"/>
      <c r="F488" s="48"/>
      <c r="G488" s="35"/>
      <c r="H488" s="35"/>
      <c r="I488" s="35"/>
      <c r="J488" s="35">
        <v>500</v>
      </c>
      <c r="K488" s="35"/>
      <c r="L488" s="35"/>
      <c r="M488" s="48"/>
      <c r="N488" s="48"/>
      <c r="O488" s="48"/>
      <c r="P488" s="48"/>
      <c r="Q488" s="35"/>
      <c r="R488" s="40"/>
      <c r="S488" s="40"/>
      <c r="T488" s="40"/>
      <c r="U488" s="40"/>
      <c r="V488" s="48"/>
      <c r="W488" s="48"/>
      <c r="X488" s="48"/>
      <c r="Y488" s="48"/>
      <c r="Z488" s="48"/>
      <c r="AA488" s="48"/>
      <c r="AB488" s="48"/>
      <c r="AC488" s="48"/>
      <c r="AD488" s="35"/>
      <c r="AE488" s="48"/>
      <c r="AF488" s="48"/>
      <c r="AG488" s="48"/>
      <c r="AH488" s="48"/>
      <c r="AI488" s="48"/>
    </row>
    <row r="489" spans="1:35" x14ac:dyDescent="0.25">
      <c r="A489" s="48">
        <v>153</v>
      </c>
      <c r="B489" s="176" t="s">
        <v>990</v>
      </c>
      <c r="C489" s="176" t="s">
        <v>988</v>
      </c>
      <c r="D489" s="138">
        <f t="shared" si="21"/>
        <v>500</v>
      </c>
      <c r="E489" s="48"/>
      <c r="F489" s="48"/>
      <c r="G489" s="35"/>
      <c r="H489" s="35"/>
      <c r="I489" s="35"/>
      <c r="J489" s="35">
        <v>456</v>
      </c>
      <c r="K489" s="35"/>
      <c r="L489" s="35"/>
      <c r="M489" s="48"/>
      <c r="N489" s="48">
        <v>44</v>
      </c>
      <c r="O489" s="48"/>
      <c r="P489" s="48"/>
      <c r="Q489" s="35"/>
      <c r="R489" s="40"/>
      <c r="S489" s="40"/>
      <c r="T489" s="40"/>
      <c r="U489" s="40"/>
      <c r="V489" s="48"/>
      <c r="W489" s="48"/>
      <c r="X489" s="48"/>
      <c r="Y489" s="48"/>
      <c r="Z489" s="48"/>
      <c r="AA489" s="48"/>
      <c r="AB489" s="48"/>
      <c r="AC489" s="48"/>
      <c r="AD489" s="35"/>
      <c r="AE489" s="48"/>
      <c r="AF489" s="48"/>
      <c r="AG489" s="48"/>
      <c r="AH489" s="48"/>
      <c r="AI489" s="48"/>
    </row>
    <row r="490" spans="1:35" x14ac:dyDescent="0.25">
      <c r="A490" s="48">
        <v>154</v>
      </c>
      <c r="B490" s="176" t="s">
        <v>992</v>
      </c>
      <c r="C490" s="176" t="s">
        <v>991</v>
      </c>
      <c r="D490" s="138">
        <f t="shared" si="21"/>
        <v>24100</v>
      </c>
      <c r="E490" s="48"/>
      <c r="F490" s="48"/>
      <c r="G490" s="35"/>
      <c r="H490" s="35"/>
      <c r="I490" s="35">
        <f>200*42</f>
        <v>8400</v>
      </c>
      <c r="J490" s="35">
        <v>8840</v>
      </c>
      <c r="K490" s="35"/>
      <c r="L490" s="35"/>
      <c r="M490" s="48"/>
      <c r="N490" s="48">
        <v>500</v>
      </c>
      <c r="O490" s="48"/>
      <c r="P490" s="48"/>
      <c r="Q490" s="35"/>
      <c r="R490" s="40"/>
      <c r="S490" s="40"/>
      <c r="T490" s="40"/>
      <c r="U490" s="40"/>
      <c r="V490" s="48"/>
      <c r="W490" s="48"/>
      <c r="X490" s="48"/>
      <c r="Y490" s="48">
        <v>6360</v>
      </c>
      <c r="Z490" s="48"/>
      <c r="AA490" s="48"/>
      <c r="AB490" s="48"/>
      <c r="AC490" s="48"/>
      <c r="AD490" s="35"/>
      <c r="AE490" s="48"/>
      <c r="AF490" s="48"/>
      <c r="AG490" s="48"/>
      <c r="AH490" s="48"/>
      <c r="AI490" s="48"/>
    </row>
    <row r="491" spans="1:35" x14ac:dyDescent="0.25">
      <c r="A491" s="48">
        <v>155</v>
      </c>
      <c r="B491" s="176" t="s">
        <v>1000</v>
      </c>
      <c r="C491" s="176" t="s">
        <v>999</v>
      </c>
      <c r="D491" s="138">
        <f t="shared" si="21"/>
        <v>5000</v>
      </c>
      <c r="E491" s="48"/>
      <c r="F491" s="48"/>
      <c r="G491" s="35"/>
      <c r="H491" s="35"/>
      <c r="I491" s="35"/>
      <c r="J491" s="35"/>
      <c r="K491" s="35"/>
      <c r="L491" s="35"/>
      <c r="M491" s="48"/>
      <c r="N491" s="48"/>
      <c r="O491" s="48">
        <v>4500</v>
      </c>
      <c r="P491" s="35">
        <v>495</v>
      </c>
      <c r="Q491" s="35"/>
      <c r="R491" s="40"/>
      <c r="S491" s="40"/>
      <c r="T491" s="40"/>
      <c r="U491" s="40"/>
      <c r="V491" s="48"/>
      <c r="W491" s="48">
        <v>5</v>
      </c>
      <c r="X491" s="48"/>
      <c r="Y491" s="48"/>
      <c r="Z491" s="48"/>
      <c r="AA491" s="48"/>
      <c r="AB491" s="48"/>
      <c r="AC491" s="48"/>
      <c r="AD491" s="35"/>
      <c r="AE491" s="48"/>
      <c r="AF491" s="48"/>
      <c r="AG491" s="48"/>
      <c r="AH491" s="48"/>
      <c r="AI491" s="48"/>
    </row>
    <row r="492" spans="1:35" x14ac:dyDescent="0.25">
      <c r="A492" s="48">
        <v>156</v>
      </c>
      <c r="B492" s="176" t="s">
        <v>1002</v>
      </c>
      <c r="C492" s="176" t="s">
        <v>1001</v>
      </c>
      <c r="D492" s="138">
        <f t="shared" si="21"/>
        <v>1200</v>
      </c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>
        <v>1200</v>
      </c>
      <c r="P492" s="35"/>
      <c r="Q492" s="35"/>
      <c r="R492" s="137"/>
      <c r="S492" s="137"/>
      <c r="T492" s="137"/>
      <c r="U492" s="137"/>
      <c r="V492" s="137"/>
      <c r="W492" s="48"/>
      <c r="X492" s="137"/>
      <c r="Y492" s="137"/>
      <c r="Z492" s="137"/>
      <c r="AA492" s="137"/>
      <c r="AB492" s="137"/>
      <c r="AC492" s="137"/>
      <c r="AD492" s="35"/>
      <c r="AE492" s="137"/>
      <c r="AF492" s="137"/>
      <c r="AG492" s="137"/>
      <c r="AH492" s="137"/>
      <c r="AI492" s="137"/>
    </row>
    <row r="493" spans="1:35" x14ac:dyDescent="0.25">
      <c r="A493" s="48">
        <v>157</v>
      </c>
      <c r="B493" s="176" t="s">
        <v>1004</v>
      </c>
      <c r="C493" s="176" t="s">
        <v>1003</v>
      </c>
      <c r="D493" s="138">
        <f t="shared" si="21"/>
        <v>500000</v>
      </c>
      <c r="E493" s="137"/>
      <c r="F493" s="137"/>
      <c r="G493" s="137"/>
      <c r="H493" s="137"/>
      <c r="I493" s="137"/>
      <c r="J493" s="137"/>
      <c r="K493" s="137"/>
      <c r="L493" s="35"/>
      <c r="M493" s="137">
        <v>15456</v>
      </c>
      <c r="N493" s="137">
        <f>355*42+4326</f>
        <v>19236</v>
      </c>
      <c r="O493" s="137">
        <v>4914</v>
      </c>
      <c r="P493" s="35"/>
      <c r="Q493" s="35"/>
      <c r="R493" s="137"/>
      <c r="S493" s="137"/>
      <c r="T493" s="137"/>
      <c r="U493" s="137"/>
      <c r="V493" s="137"/>
      <c r="W493" s="137"/>
      <c r="X493" s="137">
        <v>394</v>
      </c>
      <c r="Y493" s="137">
        <f>1717*42+60*42</f>
        <v>74634</v>
      </c>
      <c r="Z493" s="137">
        <f>1523*42+600*42</f>
        <v>89166</v>
      </c>
      <c r="AA493" s="137">
        <f>1121*42+923*42</f>
        <v>85848</v>
      </c>
      <c r="AB493" s="137"/>
      <c r="AC493" s="137">
        <f>1435*42+600*42</f>
        <v>85470</v>
      </c>
      <c r="AD493" s="35">
        <f>590*42</f>
        <v>24780</v>
      </c>
      <c r="AE493" s="137"/>
      <c r="AF493" s="137">
        <f>1016*42+413*42</f>
        <v>60018</v>
      </c>
      <c r="AG493" s="137">
        <f>478*42+270*42</f>
        <v>31416</v>
      </c>
      <c r="AH493" s="137">
        <f>198*42+352</f>
        <v>8668</v>
      </c>
      <c r="AI493" s="137"/>
    </row>
    <row r="494" spans="1:35" x14ac:dyDescent="0.25">
      <c r="A494" s="48">
        <v>158</v>
      </c>
      <c r="B494" s="166" t="s">
        <v>162</v>
      </c>
      <c r="C494" s="166" t="s">
        <v>118</v>
      </c>
      <c r="D494" s="138">
        <f t="shared" si="21"/>
        <v>0</v>
      </c>
      <c r="E494" s="48"/>
      <c r="F494" s="48"/>
      <c r="G494" s="35"/>
      <c r="H494" s="35"/>
      <c r="I494" s="35"/>
      <c r="J494" s="35"/>
      <c r="K494" s="35"/>
      <c r="L494" s="35"/>
      <c r="M494" s="48"/>
      <c r="N494" s="48"/>
      <c r="O494" s="48"/>
      <c r="P494" s="35"/>
      <c r="Q494" s="35"/>
      <c r="R494" s="40"/>
      <c r="S494" s="40"/>
      <c r="T494" s="40"/>
      <c r="U494" s="40"/>
      <c r="V494" s="48"/>
      <c r="W494" s="48"/>
      <c r="X494" s="48"/>
      <c r="Y494" s="48"/>
      <c r="Z494" s="48"/>
      <c r="AA494" s="48"/>
      <c r="AB494" s="48"/>
      <c r="AC494" s="48"/>
      <c r="AD494" s="35"/>
      <c r="AE494" s="48"/>
      <c r="AF494" s="48"/>
      <c r="AG494" s="48"/>
      <c r="AH494" s="48"/>
      <c r="AI494" s="48"/>
    </row>
    <row r="495" spans="1:35" x14ac:dyDescent="0.25">
      <c r="A495" s="141" t="s">
        <v>140</v>
      </c>
      <c r="B495" s="33" t="s">
        <v>125</v>
      </c>
      <c r="C495" s="141" t="s">
        <v>141</v>
      </c>
      <c r="D495" s="149">
        <f t="shared" ref="D495:AI495" si="22">SUM(D496:D535)</f>
        <v>471602</v>
      </c>
      <c r="E495" s="149">
        <f t="shared" si="22"/>
        <v>0</v>
      </c>
      <c r="F495" s="149">
        <f t="shared" si="22"/>
        <v>0</v>
      </c>
      <c r="G495" s="149">
        <f t="shared" si="22"/>
        <v>51061</v>
      </c>
      <c r="H495" s="149">
        <f t="shared" si="22"/>
        <v>20806</v>
      </c>
      <c r="I495" s="149">
        <f t="shared" si="22"/>
        <v>14070</v>
      </c>
      <c r="J495" s="149">
        <f t="shared" si="22"/>
        <v>9850</v>
      </c>
      <c r="K495" s="149">
        <f t="shared" si="22"/>
        <v>17500</v>
      </c>
      <c r="L495" s="149">
        <f t="shared" si="22"/>
        <v>43050</v>
      </c>
      <c r="M495" s="149">
        <f t="shared" si="22"/>
        <v>61475</v>
      </c>
      <c r="N495" s="149">
        <f t="shared" si="22"/>
        <v>5750</v>
      </c>
      <c r="O495" s="149">
        <f t="shared" si="22"/>
        <v>45290</v>
      </c>
      <c r="P495" s="149">
        <f t="shared" si="22"/>
        <v>8052</v>
      </c>
      <c r="Q495" s="149">
        <f t="shared" si="22"/>
        <v>9723</v>
      </c>
      <c r="R495" s="149">
        <f t="shared" si="22"/>
        <v>0</v>
      </c>
      <c r="S495" s="149">
        <f t="shared" si="22"/>
        <v>0</v>
      </c>
      <c r="T495" s="149">
        <f t="shared" si="22"/>
        <v>0</v>
      </c>
      <c r="U495" s="149">
        <f t="shared" si="22"/>
        <v>25331</v>
      </c>
      <c r="V495" s="149">
        <f t="shared" si="22"/>
        <v>0</v>
      </c>
      <c r="W495" s="149">
        <f t="shared" si="22"/>
        <v>23654</v>
      </c>
      <c r="X495" s="149">
        <f t="shared" si="22"/>
        <v>4642</v>
      </c>
      <c r="Y495" s="149">
        <f t="shared" si="22"/>
        <v>500</v>
      </c>
      <c r="Z495" s="149">
        <f t="shared" si="22"/>
        <v>35000</v>
      </c>
      <c r="AA495" s="149">
        <f t="shared" si="22"/>
        <v>5724</v>
      </c>
      <c r="AB495" s="149">
        <f t="shared" si="22"/>
        <v>46920</v>
      </c>
      <c r="AC495" s="149">
        <f t="shared" si="22"/>
        <v>5</v>
      </c>
      <c r="AD495" s="149">
        <f t="shared" si="22"/>
        <v>16150</v>
      </c>
      <c r="AE495" s="149">
        <f t="shared" si="22"/>
        <v>0</v>
      </c>
      <c r="AF495" s="149">
        <f t="shared" si="22"/>
        <v>1030</v>
      </c>
      <c r="AG495" s="149">
        <f t="shared" si="22"/>
        <v>0</v>
      </c>
      <c r="AH495" s="149">
        <f t="shared" si="22"/>
        <v>20060</v>
      </c>
      <c r="AI495" s="149">
        <f t="shared" si="22"/>
        <v>5959</v>
      </c>
    </row>
    <row r="496" spans="1:35" x14ac:dyDescent="0.25">
      <c r="A496" s="48">
        <v>1</v>
      </c>
      <c r="B496" s="166" t="s">
        <v>762</v>
      </c>
      <c r="C496" s="166" t="s">
        <v>761</v>
      </c>
      <c r="D496" s="138">
        <f t="shared" ref="D496:D535" si="23">SUM(E496:AI496)</f>
        <v>2700</v>
      </c>
      <c r="E496" s="48"/>
      <c r="F496" s="48"/>
      <c r="G496" s="35"/>
      <c r="H496" s="35">
        <v>2700</v>
      </c>
      <c r="I496" s="35"/>
      <c r="J496" s="35"/>
      <c r="K496" s="35"/>
      <c r="L496" s="35"/>
      <c r="M496" s="48"/>
      <c r="N496" s="48"/>
      <c r="O496" s="48"/>
      <c r="P496" s="35"/>
      <c r="Q496" s="48"/>
      <c r="R496" s="40"/>
      <c r="S496" s="40"/>
      <c r="T496" s="40"/>
      <c r="U496" s="40"/>
      <c r="V496" s="48"/>
      <c r="W496" s="48"/>
      <c r="X496" s="48"/>
      <c r="Y496" s="48"/>
      <c r="Z496" s="48"/>
      <c r="AA496" s="48"/>
      <c r="AB496" s="48"/>
      <c r="AC496" s="35"/>
      <c r="AD496" s="35"/>
      <c r="AE496" s="35"/>
      <c r="AF496" s="35"/>
      <c r="AG496" s="35"/>
      <c r="AH496" s="48"/>
      <c r="AI496" s="35"/>
    </row>
    <row r="497" spans="1:35" x14ac:dyDescent="0.25">
      <c r="A497" s="48">
        <v>2</v>
      </c>
      <c r="B497" s="166" t="s">
        <v>163</v>
      </c>
      <c r="C497" s="166" t="s">
        <v>95</v>
      </c>
      <c r="D497" s="138">
        <f t="shared" si="23"/>
        <v>0</v>
      </c>
      <c r="E497" s="48"/>
      <c r="F497" s="48"/>
      <c r="G497" s="35"/>
      <c r="H497" s="35"/>
      <c r="I497" s="35"/>
      <c r="J497" s="35"/>
      <c r="K497" s="35"/>
      <c r="L497" s="35"/>
      <c r="M497" s="48"/>
      <c r="N497" s="48"/>
      <c r="O497" s="48"/>
      <c r="P497" s="35"/>
      <c r="Q497" s="48"/>
      <c r="R497" s="40"/>
      <c r="S497" s="40"/>
      <c r="T497" s="40"/>
      <c r="U497" s="40"/>
      <c r="V497" s="48"/>
      <c r="W497" s="48"/>
      <c r="X497" s="48"/>
      <c r="Y497" s="48"/>
      <c r="Z497" s="48"/>
      <c r="AA497" s="48"/>
      <c r="AB497" s="48"/>
      <c r="AC497" s="35"/>
      <c r="AD497" s="35"/>
      <c r="AE497" s="35"/>
      <c r="AF497" s="35"/>
      <c r="AG497" s="35"/>
      <c r="AH497" s="48"/>
      <c r="AI497" s="35"/>
    </row>
    <row r="498" spans="1:35" x14ac:dyDescent="0.25">
      <c r="A498" s="48">
        <v>3</v>
      </c>
      <c r="B498" s="166" t="s">
        <v>128</v>
      </c>
      <c r="C498" s="166" t="s">
        <v>127</v>
      </c>
      <c r="D498" s="138">
        <f t="shared" si="23"/>
        <v>164000</v>
      </c>
      <c r="E498" s="48"/>
      <c r="F498" s="48"/>
      <c r="G498" s="35">
        <f>3000+779*50</f>
        <v>41950</v>
      </c>
      <c r="H498" s="35"/>
      <c r="I498" s="35"/>
      <c r="J498" s="35"/>
      <c r="K498" s="35">
        <f>350*50</f>
        <v>17500</v>
      </c>
      <c r="L498" s="35">
        <v>3500</v>
      </c>
      <c r="M498" s="48">
        <v>19050</v>
      </c>
      <c r="N498" s="48">
        <f>115*50</f>
        <v>5750</v>
      </c>
      <c r="O498" s="48">
        <f>886*50-50</f>
        <v>44250</v>
      </c>
      <c r="P498" s="35"/>
      <c r="Q498" s="48"/>
      <c r="R498" s="40"/>
      <c r="S498" s="40"/>
      <c r="T498" s="40"/>
      <c r="U498" s="40"/>
      <c r="V498" s="48"/>
      <c r="W498" s="48">
        <f>240*50</f>
        <v>12000</v>
      </c>
      <c r="X498" s="48"/>
      <c r="Y498" s="48"/>
      <c r="Z498" s="48"/>
      <c r="AA498" s="48"/>
      <c r="AB498" s="48"/>
      <c r="AC498" s="35"/>
      <c r="AD498" s="35">
        <f>323*50</f>
        <v>16150</v>
      </c>
      <c r="AE498" s="35"/>
      <c r="AF498" s="35"/>
      <c r="AG498" s="35"/>
      <c r="AH498" s="48">
        <v>250</v>
      </c>
      <c r="AI498" s="35">
        <v>3600</v>
      </c>
    </row>
    <row r="499" spans="1:35" x14ac:dyDescent="0.25">
      <c r="A499" s="48">
        <v>4</v>
      </c>
      <c r="B499" s="176" t="s">
        <v>1084</v>
      </c>
      <c r="C499" s="176" t="s">
        <v>1083</v>
      </c>
      <c r="D499" s="138">
        <f t="shared" si="23"/>
        <v>5000</v>
      </c>
      <c r="E499" s="48"/>
      <c r="F499" s="48"/>
      <c r="G499" s="35"/>
      <c r="H499" s="35"/>
      <c r="I499" s="35"/>
      <c r="J499" s="35"/>
      <c r="K499" s="35"/>
      <c r="L499" s="35"/>
      <c r="M499" s="48"/>
      <c r="N499" s="48"/>
      <c r="O499" s="48"/>
      <c r="P499" s="35"/>
      <c r="Q499" s="48"/>
      <c r="R499" s="40"/>
      <c r="S499" s="40"/>
      <c r="T499" s="40"/>
      <c r="U499" s="40"/>
      <c r="V499" s="48"/>
      <c r="W499" s="48"/>
      <c r="X499" s="48"/>
      <c r="Y499" s="48"/>
      <c r="Z499" s="48"/>
      <c r="AA499" s="48">
        <v>5000</v>
      </c>
      <c r="AB499" s="48"/>
      <c r="AC499" s="35"/>
      <c r="AD499" s="35"/>
      <c r="AE499" s="35"/>
      <c r="AF499" s="35"/>
      <c r="AG499" s="35"/>
      <c r="AH499" s="48"/>
      <c r="AI499" s="35"/>
    </row>
    <row r="500" spans="1:35" x14ac:dyDescent="0.25">
      <c r="A500" s="48">
        <v>5</v>
      </c>
      <c r="B500" s="166" t="s">
        <v>491</v>
      </c>
      <c r="C500" s="166" t="s">
        <v>490</v>
      </c>
      <c r="D500" s="138">
        <f t="shared" si="23"/>
        <v>19104</v>
      </c>
      <c r="E500" s="48"/>
      <c r="F500" s="48"/>
      <c r="G500" s="35"/>
      <c r="H500" s="35"/>
      <c r="I500" s="35"/>
      <c r="J500" s="35"/>
      <c r="K500" s="35"/>
      <c r="L500" s="35"/>
      <c r="M500" s="48"/>
      <c r="N500" s="48"/>
      <c r="O500" s="48"/>
      <c r="P500" s="35"/>
      <c r="Q500" s="48"/>
      <c r="R500" s="40"/>
      <c r="S500" s="40"/>
      <c r="T500" s="40"/>
      <c r="U500" s="40">
        <f>299*64-32</f>
        <v>19104</v>
      </c>
      <c r="V500" s="48"/>
      <c r="W500" s="48"/>
      <c r="X500" s="48"/>
      <c r="Y500" s="48"/>
      <c r="Z500" s="48"/>
      <c r="AA500" s="48"/>
      <c r="AB500" s="48"/>
      <c r="AC500" s="35"/>
      <c r="AD500" s="35"/>
      <c r="AE500" s="35"/>
      <c r="AF500" s="35"/>
      <c r="AG500" s="35"/>
      <c r="AH500" s="48"/>
      <c r="AI500" s="35"/>
    </row>
    <row r="501" spans="1:35" x14ac:dyDescent="0.25">
      <c r="A501" s="48">
        <v>6</v>
      </c>
      <c r="B501" s="166" t="s">
        <v>199</v>
      </c>
      <c r="C501" s="166" t="s">
        <v>198</v>
      </c>
      <c r="D501" s="138">
        <f t="shared" si="23"/>
        <v>184576</v>
      </c>
      <c r="E501" s="48"/>
      <c r="F501" s="48"/>
      <c r="G501" s="35"/>
      <c r="H501" s="35">
        <v>16006</v>
      </c>
      <c r="I501" s="35">
        <f>402*35</f>
        <v>14070</v>
      </c>
      <c r="J501" s="35">
        <v>7350</v>
      </c>
      <c r="K501" s="35"/>
      <c r="L501" s="48">
        <f>26250+380*35</f>
        <v>39550</v>
      </c>
      <c r="M501" s="48">
        <f>477*35+678*35</f>
        <v>40425</v>
      </c>
      <c r="N501" s="48"/>
      <c r="O501" s="48"/>
      <c r="P501" s="35"/>
      <c r="Q501" s="48">
        <f>141*35</f>
        <v>4935</v>
      </c>
      <c r="R501" s="40"/>
      <c r="S501" s="40"/>
      <c r="T501" s="40"/>
      <c r="U501" s="40">
        <v>5075</v>
      </c>
      <c r="V501" s="48"/>
      <c r="W501" s="48"/>
      <c r="X501" s="48"/>
      <c r="Y501" s="48"/>
      <c r="Z501" s="48">
        <f>35*600+400*35</f>
        <v>35000</v>
      </c>
      <c r="AA501" s="48"/>
      <c r="AB501" s="48"/>
      <c r="AC501" s="35"/>
      <c r="AD501" s="35"/>
      <c r="AE501" s="35"/>
      <c r="AF501" s="48"/>
      <c r="AG501" s="48"/>
      <c r="AH501" s="48">
        <f>42*35+524*35</f>
        <v>19810</v>
      </c>
      <c r="AI501" s="35">
        <v>2355</v>
      </c>
    </row>
    <row r="502" spans="1:35" x14ac:dyDescent="0.25">
      <c r="A502" s="48">
        <v>7</v>
      </c>
      <c r="B502" s="166" t="s">
        <v>477</v>
      </c>
      <c r="C502" s="166" t="s">
        <v>476</v>
      </c>
      <c r="D502" s="138">
        <f t="shared" si="23"/>
        <v>2000</v>
      </c>
      <c r="E502" s="48"/>
      <c r="F502" s="48"/>
      <c r="G502" s="35"/>
      <c r="H502" s="35"/>
      <c r="I502" s="35"/>
      <c r="J502" s="35"/>
      <c r="K502" s="35"/>
      <c r="L502" s="35"/>
      <c r="M502" s="48">
        <v>2000</v>
      </c>
      <c r="N502" s="48"/>
      <c r="O502" s="48"/>
      <c r="P502" s="35"/>
      <c r="Q502" s="48"/>
      <c r="R502" s="40"/>
      <c r="S502" s="40"/>
      <c r="T502" s="40"/>
      <c r="U502" s="40"/>
      <c r="V502" s="48"/>
      <c r="W502" s="48"/>
      <c r="X502" s="48"/>
      <c r="Y502" s="48"/>
      <c r="Z502" s="48"/>
      <c r="AA502" s="48"/>
      <c r="AB502" s="48"/>
      <c r="AC502" s="35"/>
      <c r="AD502" s="35"/>
      <c r="AE502" s="35"/>
      <c r="AF502" s="35"/>
      <c r="AG502" s="35"/>
      <c r="AH502" s="48"/>
      <c r="AI502" s="35"/>
    </row>
    <row r="503" spans="1:35" x14ac:dyDescent="0.25">
      <c r="A503" s="48">
        <v>8</v>
      </c>
      <c r="B503" s="166" t="s">
        <v>845</v>
      </c>
      <c r="C503" s="166" t="s">
        <v>844</v>
      </c>
      <c r="D503" s="138">
        <f t="shared" si="23"/>
        <v>10900</v>
      </c>
      <c r="E503" s="48"/>
      <c r="F503" s="48"/>
      <c r="G503" s="35"/>
      <c r="H503" s="35"/>
      <c r="I503" s="35"/>
      <c r="J503" s="35"/>
      <c r="K503" s="35"/>
      <c r="L503" s="35"/>
      <c r="M503" s="48"/>
      <c r="N503" s="48"/>
      <c r="O503" s="48"/>
      <c r="P503" s="35"/>
      <c r="Q503" s="48"/>
      <c r="R503" s="40"/>
      <c r="S503" s="40"/>
      <c r="T503" s="40"/>
      <c r="U503" s="40"/>
      <c r="V503" s="48"/>
      <c r="W503" s="48">
        <v>10880</v>
      </c>
      <c r="X503" s="48">
        <v>20</v>
      </c>
      <c r="Y503" s="48"/>
      <c r="Z503" s="48"/>
      <c r="AA503" s="48"/>
      <c r="AB503" s="48"/>
      <c r="AC503" s="35"/>
      <c r="AD503" s="35"/>
      <c r="AE503" s="35"/>
      <c r="AF503" s="35"/>
      <c r="AG503" s="35"/>
      <c r="AH503" s="48"/>
      <c r="AI503" s="35"/>
    </row>
    <row r="504" spans="1:35" x14ac:dyDescent="0.25">
      <c r="A504" s="48">
        <v>9</v>
      </c>
      <c r="B504" s="166" t="s">
        <v>175</v>
      </c>
      <c r="C504" s="166" t="s">
        <v>174</v>
      </c>
      <c r="D504" s="138">
        <f t="shared" si="23"/>
        <v>3728</v>
      </c>
      <c r="E504" s="137"/>
      <c r="F504" s="137"/>
      <c r="G504" s="137"/>
      <c r="H504" s="137"/>
      <c r="I504" s="137"/>
      <c r="J504" s="137"/>
      <c r="K504" s="137"/>
      <c r="L504" s="35"/>
      <c r="M504" s="137"/>
      <c r="N504" s="137"/>
      <c r="O504" s="137">
        <f>20*25</f>
        <v>500</v>
      </c>
      <c r="P504" s="35"/>
      <c r="Q504" s="137">
        <v>3228</v>
      </c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35"/>
      <c r="AD504" s="35"/>
      <c r="AE504" s="35"/>
      <c r="AF504" s="35"/>
      <c r="AG504" s="35"/>
      <c r="AH504" s="137"/>
      <c r="AI504" s="35"/>
    </row>
    <row r="505" spans="1:35" x14ac:dyDescent="0.25">
      <c r="A505" s="48">
        <v>10</v>
      </c>
      <c r="B505" s="176" t="s">
        <v>852</v>
      </c>
      <c r="C505" s="176" t="s">
        <v>850</v>
      </c>
      <c r="D505" s="138">
        <f t="shared" si="23"/>
        <v>120</v>
      </c>
      <c r="E505" s="48"/>
      <c r="F505" s="48"/>
      <c r="G505" s="35"/>
      <c r="H505" s="35"/>
      <c r="I505" s="35"/>
      <c r="J505" s="35"/>
      <c r="K505" s="35"/>
      <c r="L505" s="35"/>
      <c r="M505" s="48"/>
      <c r="N505" s="48"/>
      <c r="O505" s="48"/>
      <c r="P505" s="35"/>
      <c r="Q505" s="48"/>
      <c r="R505" s="40"/>
      <c r="S505" s="40"/>
      <c r="T505" s="40"/>
      <c r="U505" s="40"/>
      <c r="V505" s="48"/>
      <c r="W505" s="48"/>
      <c r="X505" s="48"/>
      <c r="Y505" s="48"/>
      <c r="Z505" s="48"/>
      <c r="AA505" s="48">
        <v>120</v>
      </c>
      <c r="AB505" s="48"/>
      <c r="AC505" s="35"/>
      <c r="AD505" s="35"/>
      <c r="AE505" s="35"/>
      <c r="AF505" s="35"/>
      <c r="AG505" s="35"/>
      <c r="AH505" s="48"/>
      <c r="AI505" s="35"/>
    </row>
    <row r="506" spans="1:35" x14ac:dyDescent="0.25">
      <c r="A506" s="48">
        <v>11</v>
      </c>
      <c r="B506" s="176" t="s">
        <v>853</v>
      </c>
      <c r="C506" s="176" t="s">
        <v>851</v>
      </c>
      <c r="D506" s="138">
        <f t="shared" si="23"/>
        <v>46500</v>
      </c>
      <c r="E506" s="48"/>
      <c r="F506" s="48"/>
      <c r="G506" s="35"/>
      <c r="H506" s="35"/>
      <c r="I506" s="35"/>
      <c r="J506" s="35"/>
      <c r="K506" s="35"/>
      <c r="L506" s="35"/>
      <c r="M506" s="48"/>
      <c r="N506" s="48"/>
      <c r="O506" s="48"/>
      <c r="P506" s="35"/>
      <c r="Q506" s="48"/>
      <c r="R506" s="40"/>
      <c r="S506" s="40"/>
      <c r="T506" s="40"/>
      <c r="U506" s="40"/>
      <c r="V506" s="48"/>
      <c r="W506" s="48"/>
      <c r="X506" s="48"/>
      <c r="Y506" s="48"/>
      <c r="Z506" s="48"/>
      <c r="AA506" s="48"/>
      <c r="AB506" s="48">
        <f>1641*20+684*20</f>
        <v>46500</v>
      </c>
      <c r="AC506" s="35"/>
      <c r="AD506" s="35"/>
      <c r="AE506" s="35"/>
      <c r="AF506" s="35"/>
      <c r="AG506" s="35"/>
      <c r="AH506" s="48"/>
      <c r="AI506" s="35"/>
    </row>
    <row r="507" spans="1:35" x14ac:dyDescent="0.25">
      <c r="A507" s="48">
        <v>12</v>
      </c>
      <c r="B507" s="176" t="s">
        <v>855</v>
      </c>
      <c r="C507" s="176" t="s">
        <v>854</v>
      </c>
      <c r="D507" s="138">
        <f t="shared" si="23"/>
        <v>200</v>
      </c>
      <c r="E507" s="48"/>
      <c r="F507" s="48"/>
      <c r="G507" s="35"/>
      <c r="H507" s="35"/>
      <c r="I507" s="35"/>
      <c r="J507" s="35"/>
      <c r="K507" s="35"/>
      <c r="L507" s="35"/>
      <c r="M507" s="48"/>
      <c r="N507" s="48"/>
      <c r="O507" s="48"/>
      <c r="P507" s="35"/>
      <c r="Q507" s="48"/>
      <c r="R507" s="40"/>
      <c r="S507" s="40"/>
      <c r="T507" s="40"/>
      <c r="U507" s="40"/>
      <c r="V507" s="48"/>
      <c r="W507" s="48">
        <v>200</v>
      </c>
      <c r="X507" s="48"/>
      <c r="Y507" s="48"/>
      <c r="Z507" s="48"/>
      <c r="AA507" s="48"/>
      <c r="AB507" s="48"/>
      <c r="AC507" s="35"/>
      <c r="AD507" s="35"/>
      <c r="AE507" s="35"/>
      <c r="AF507" s="35"/>
      <c r="AG507" s="35"/>
      <c r="AH507" s="48"/>
      <c r="AI507" s="35"/>
    </row>
    <row r="508" spans="1:35" x14ac:dyDescent="0.25">
      <c r="A508" s="48">
        <v>13</v>
      </c>
      <c r="B508" s="166" t="s">
        <v>431</v>
      </c>
      <c r="C508" s="166" t="s">
        <v>430</v>
      </c>
      <c r="D508" s="138">
        <f t="shared" si="23"/>
        <v>573</v>
      </c>
      <c r="E508" s="48"/>
      <c r="F508" s="48"/>
      <c r="G508" s="35"/>
      <c r="H508" s="35"/>
      <c r="I508" s="35"/>
      <c r="J508" s="35"/>
      <c r="K508" s="35"/>
      <c r="L508" s="35"/>
      <c r="M508" s="48"/>
      <c r="N508" s="48"/>
      <c r="O508" s="48"/>
      <c r="P508" s="35"/>
      <c r="Q508" s="48"/>
      <c r="R508" s="40"/>
      <c r="S508" s="40"/>
      <c r="T508" s="40"/>
      <c r="U508" s="40"/>
      <c r="V508" s="48"/>
      <c r="W508" s="48"/>
      <c r="X508" s="48"/>
      <c r="Y508" s="48"/>
      <c r="Z508" s="48"/>
      <c r="AA508" s="48">
        <v>568</v>
      </c>
      <c r="AB508" s="48"/>
      <c r="AC508" s="35">
        <v>5</v>
      </c>
      <c r="AD508" s="35"/>
      <c r="AE508" s="35"/>
      <c r="AF508" s="35"/>
      <c r="AG508" s="35"/>
      <c r="AH508" s="48"/>
      <c r="AI508" s="35"/>
    </row>
    <row r="509" spans="1:35" ht="15.75" x14ac:dyDescent="0.25">
      <c r="A509" s="48">
        <v>14</v>
      </c>
      <c r="B509" s="166" t="s">
        <v>459</v>
      </c>
      <c r="C509" s="155" t="s">
        <v>458</v>
      </c>
      <c r="D509" s="138">
        <f t="shared" si="23"/>
        <v>9000</v>
      </c>
      <c r="E509" s="48"/>
      <c r="F509" s="48"/>
      <c r="G509" s="35"/>
      <c r="H509" s="35"/>
      <c r="I509" s="35"/>
      <c r="J509" s="35"/>
      <c r="K509" s="35"/>
      <c r="L509" s="35"/>
      <c r="M509" s="48"/>
      <c r="N509" s="48"/>
      <c r="O509" s="48"/>
      <c r="P509" s="35">
        <f>930*8</f>
        <v>7440</v>
      </c>
      <c r="Q509" s="48">
        <v>1560</v>
      </c>
      <c r="R509" s="40"/>
      <c r="S509" s="40"/>
      <c r="T509" s="40"/>
      <c r="U509" s="40"/>
      <c r="V509" s="48"/>
      <c r="W509" s="48"/>
      <c r="X509" s="48"/>
      <c r="Y509" s="48"/>
      <c r="Z509" s="48"/>
      <c r="AA509" s="48"/>
      <c r="AB509" s="48"/>
      <c r="AC509" s="35"/>
      <c r="AD509" s="35"/>
      <c r="AE509" s="35"/>
      <c r="AF509" s="35"/>
      <c r="AG509" s="35"/>
      <c r="AH509" s="48"/>
      <c r="AI509" s="35"/>
    </row>
    <row r="510" spans="1:35" x14ac:dyDescent="0.25">
      <c r="A510" s="48">
        <v>15</v>
      </c>
      <c r="B510" s="166" t="s">
        <v>391</v>
      </c>
      <c r="C510" s="166" t="s">
        <v>390</v>
      </c>
      <c r="D510" s="138">
        <f t="shared" si="23"/>
        <v>3420</v>
      </c>
      <c r="E510" s="48"/>
      <c r="F510" s="48"/>
      <c r="G510" s="35">
        <v>1200</v>
      </c>
      <c r="H510" s="35"/>
      <c r="I510" s="35"/>
      <c r="J510" s="35"/>
      <c r="K510" s="35"/>
      <c r="L510" s="35"/>
      <c r="M510" s="48"/>
      <c r="N510" s="48"/>
      <c r="O510" s="48"/>
      <c r="P510" s="35">
        <v>612</v>
      </c>
      <c r="Q510" s="48"/>
      <c r="R510" s="40"/>
      <c r="S510" s="40"/>
      <c r="T510" s="40"/>
      <c r="U510" s="40">
        <v>1152</v>
      </c>
      <c r="V510" s="48"/>
      <c r="W510" s="48"/>
      <c r="X510" s="48"/>
      <c r="Y510" s="48"/>
      <c r="Z510" s="48"/>
      <c r="AA510" s="48">
        <v>36</v>
      </c>
      <c r="AB510" s="48">
        <v>420</v>
      </c>
      <c r="AC510" s="35"/>
      <c r="AD510" s="35"/>
      <c r="AE510" s="35"/>
      <c r="AF510" s="35"/>
      <c r="AG510" s="35"/>
      <c r="AH510" s="48"/>
      <c r="AI510" s="35"/>
    </row>
    <row r="511" spans="1:35" x14ac:dyDescent="0.25">
      <c r="A511" s="48">
        <v>16</v>
      </c>
      <c r="B511" s="166" t="s">
        <v>873</v>
      </c>
      <c r="C511" s="166" t="s">
        <v>872</v>
      </c>
      <c r="D511" s="138">
        <f t="shared" si="23"/>
        <v>540</v>
      </c>
      <c r="E511" s="48"/>
      <c r="F511" s="48"/>
      <c r="G511" s="35"/>
      <c r="H511" s="35"/>
      <c r="I511" s="35"/>
      <c r="J511" s="35"/>
      <c r="K511" s="35"/>
      <c r="L511" s="35"/>
      <c r="M511" s="48"/>
      <c r="N511" s="48"/>
      <c r="O511" s="48">
        <v>540</v>
      </c>
      <c r="P511" s="35"/>
      <c r="Q511" s="48"/>
      <c r="R511" s="40"/>
      <c r="S511" s="40"/>
      <c r="T511" s="40"/>
      <c r="U511" s="40"/>
      <c r="V511" s="48"/>
      <c r="W511" s="48"/>
      <c r="X511" s="48"/>
      <c r="Y511" s="48"/>
      <c r="Z511" s="48"/>
      <c r="AA511" s="48"/>
      <c r="AB511" s="48"/>
      <c r="AC511" s="35"/>
      <c r="AD511" s="35"/>
      <c r="AE511" s="35"/>
      <c r="AF511" s="35"/>
      <c r="AG511" s="35"/>
      <c r="AH511" s="48"/>
      <c r="AI511" s="35"/>
    </row>
    <row r="512" spans="1:35" x14ac:dyDescent="0.25">
      <c r="A512" s="48">
        <v>17</v>
      </c>
      <c r="B512" s="176" t="s">
        <v>881</v>
      </c>
      <c r="C512" s="176" t="s">
        <v>880</v>
      </c>
      <c r="D512" s="138">
        <f t="shared" si="23"/>
        <v>2500</v>
      </c>
      <c r="E512" s="48"/>
      <c r="F512" s="48"/>
      <c r="G512" s="35"/>
      <c r="H512" s="35"/>
      <c r="I512" s="35"/>
      <c r="J512" s="35">
        <v>2500</v>
      </c>
      <c r="K512" s="35"/>
      <c r="L512" s="35"/>
      <c r="M512" s="48"/>
      <c r="N512" s="48"/>
      <c r="O512" s="48"/>
      <c r="P512" s="35"/>
      <c r="Q512" s="48"/>
      <c r="R512" s="40"/>
      <c r="S512" s="40"/>
      <c r="T512" s="40"/>
      <c r="U512" s="40"/>
      <c r="V512" s="48"/>
      <c r="W512" s="48"/>
      <c r="X512" s="48"/>
      <c r="Y512" s="48"/>
      <c r="Z512" s="48"/>
      <c r="AA512" s="48"/>
      <c r="AB512" s="48"/>
      <c r="AC512" s="35"/>
      <c r="AD512" s="35"/>
      <c r="AE512" s="35"/>
      <c r="AF512" s="35"/>
      <c r="AG512" s="35"/>
      <c r="AH512" s="48"/>
      <c r="AI512" s="35"/>
    </row>
    <row r="513" spans="1:35" x14ac:dyDescent="0.25">
      <c r="A513" s="48">
        <v>18</v>
      </c>
      <c r="B513" s="176" t="s">
        <v>909</v>
      </c>
      <c r="C513" s="176" t="s">
        <v>908</v>
      </c>
      <c r="D513" s="138">
        <f t="shared" si="23"/>
        <v>0</v>
      </c>
      <c r="E513" s="48"/>
      <c r="F513" s="48"/>
      <c r="G513" s="35"/>
      <c r="H513" s="35"/>
      <c r="I513" s="35"/>
      <c r="J513" s="35"/>
      <c r="K513" s="35"/>
      <c r="L513" s="35"/>
      <c r="M513" s="48"/>
      <c r="N513" s="48"/>
      <c r="O513" s="48"/>
      <c r="P513" s="35"/>
      <c r="Q513" s="48"/>
      <c r="R513" s="40"/>
      <c r="S513" s="40"/>
      <c r="T513" s="40"/>
      <c r="U513" s="40"/>
      <c r="V513" s="48"/>
      <c r="W513" s="48"/>
      <c r="X513" s="48"/>
      <c r="Y513" s="48"/>
      <c r="Z513" s="48"/>
      <c r="AA513" s="48"/>
      <c r="AB513" s="48"/>
      <c r="AC513" s="35"/>
      <c r="AD513" s="35"/>
      <c r="AE513" s="35"/>
      <c r="AF513" s="35"/>
      <c r="AG513" s="35"/>
      <c r="AH513" s="48"/>
      <c r="AI513" s="35"/>
    </row>
    <row r="514" spans="1:35" x14ac:dyDescent="0.25">
      <c r="A514" s="48">
        <v>19</v>
      </c>
      <c r="B514" s="176" t="s">
        <v>911</v>
      </c>
      <c r="C514" s="176" t="s">
        <v>910</v>
      </c>
      <c r="D514" s="138">
        <f t="shared" si="23"/>
        <v>0</v>
      </c>
      <c r="E514" s="48"/>
      <c r="F514" s="48"/>
      <c r="G514" s="35"/>
      <c r="H514" s="35"/>
      <c r="I514" s="35"/>
      <c r="J514" s="35"/>
      <c r="K514" s="35"/>
      <c r="L514" s="35"/>
      <c r="M514" s="48"/>
      <c r="N514" s="48"/>
      <c r="O514" s="48"/>
      <c r="P514" s="35"/>
      <c r="Q514" s="48"/>
      <c r="R514" s="40"/>
      <c r="S514" s="40"/>
      <c r="T514" s="40"/>
      <c r="U514" s="40"/>
      <c r="V514" s="48"/>
      <c r="W514" s="48"/>
      <c r="X514" s="48"/>
      <c r="Y514" s="48"/>
      <c r="Z514" s="48"/>
      <c r="AA514" s="48"/>
      <c r="AB514" s="48"/>
      <c r="AC514" s="35"/>
      <c r="AD514" s="35"/>
      <c r="AE514" s="35"/>
      <c r="AF514" s="35"/>
      <c r="AG514" s="35"/>
      <c r="AH514" s="48"/>
      <c r="AI514" s="35"/>
    </row>
    <row r="515" spans="1:35" x14ac:dyDescent="0.25">
      <c r="A515" s="48">
        <v>20</v>
      </c>
      <c r="B515" s="166" t="s">
        <v>513</v>
      </c>
      <c r="C515" s="166" t="s">
        <v>514</v>
      </c>
      <c r="D515" s="138">
        <f t="shared" si="23"/>
        <v>2000</v>
      </c>
      <c r="E515" s="48"/>
      <c r="F515" s="48"/>
      <c r="G515" s="35"/>
      <c r="H515" s="35">
        <v>2000</v>
      </c>
      <c r="I515" s="35"/>
      <c r="J515" s="35"/>
      <c r="K515" s="35"/>
      <c r="L515" s="35"/>
      <c r="M515" s="48"/>
      <c r="N515" s="48"/>
      <c r="O515" s="48"/>
      <c r="P515" s="35"/>
      <c r="Q515" s="48"/>
      <c r="R515" s="40"/>
      <c r="S515" s="40"/>
      <c r="T515" s="40"/>
      <c r="U515" s="40"/>
      <c r="V515" s="48"/>
      <c r="W515" s="48"/>
      <c r="X515" s="48"/>
      <c r="Y515" s="48"/>
      <c r="Z515" s="48"/>
      <c r="AA515" s="48"/>
      <c r="AB515" s="48"/>
      <c r="AC515" s="35"/>
      <c r="AD515" s="35"/>
      <c r="AE515" s="35"/>
      <c r="AF515" s="35"/>
      <c r="AG515" s="35"/>
      <c r="AH515" s="48"/>
      <c r="AI515" s="35"/>
    </row>
    <row r="516" spans="1:35" x14ac:dyDescent="0.25">
      <c r="A516" s="48">
        <v>21</v>
      </c>
      <c r="B516" s="166" t="s">
        <v>957</v>
      </c>
      <c r="C516" s="166" t="s">
        <v>956</v>
      </c>
      <c r="D516" s="138">
        <f t="shared" si="23"/>
        <v>0</v>
      </c>
      <c r="E516" s="48"/>
      <c r="F516" s="48"/>
      <c r="G516" s="35"/>
      <c r="H516" s="35"/>
      <c r="I516" s="35"/>
      <c r="J516" s="35"/>
      <c r="K516" s="35"/>
      <c r="L516" s="35"/>
      <c r="M516" s="48"/>
      <c r="N516" s="48"/>
      <c r="O516" s="48"/>
      <c r="P516" s="35"/>
      <c r="Q516" s="48"/>
      <c r="R516" s="40"/>
      <c r="S516" s="40"/>
      <c r="T516" s="40"/>
      <c r="U516" s="40"/>
      <c r="V516" s="48"/>
      <c r="W516" s="48"/>
      <c r="X516" s="48"/>
      <c r="Y516" s="48"/>
      <c r="Z516" s="48"/>
      <c r="AA516" s="48"/>
      <c r="AB516" s="48"/>
      <c r="AC516" s="35"/>
      <c r="AD516" s="35"/>
      <c r="AE516" s="35"/>
      <c r="AF516" s="35"/>
      <c r="AG516" s="35"/>
      <c r="AH516" s="48"/>
      <c r="AI516" s="35"/>
    </row>
    <row r="517" spans="1:35" x14ac:dyDescent="0.25">
      <c r="A517" s="48">
        <v>22</v>
      </c>
      <c r="B517" s="166" t="s">
        <v>403</v>
      </c>
      <c r="C517" s="166" t="s">
        <v>405</v>
      </c>
      <c r="D517" s="138">
        <f t="shared" si="23"/>
        <v>0</v>
      </c>
      <c r="E517" s="48"/>
      <c r="F517" s="48"/>
      <c r="G517" s="35"/>
      <c r="H517" s="35"/>
      <c r="I517" s="35"/>
      <c r="J517" s="35"/>
      <c r="K517" s="35"/>
      <c r="L517" s="35"/>
      <c r="M517" s="48"/>
      <c r="N517" s="48"/>
      <c r="O517" s="48"/>
      <c r="P517" s="35"/>
      <c r="Q517" s="48"/>
      <c r="R517" s="40"/>
      <c r="S517" s="40"/>
      <c r="T517" s="40"/>
      <c r="U517" s="40"/>
      <c r="V517" s="48"/>
      <c r="W517" s="48"/>
      <c r="X517" s="48"/>
      <c r="Y517" s="48"/>
      <c r="Z517" s="48"/>
      <c r="AA517" s="48"/>
      <c r="AB517" s="48"/>
      <c r="AC517" s="35"/>
      <c r="AD517" s="35"/>
      <c r="AE517" s="35"/>
      <c r="AF517" s="35"/>
      <c r="AG517" s="35"/>
      <c r="AH517" s="48"/>
      <c r="AI517" s="35"/>
    </row>
    <row r="518" spans="1:35" x14ac:dyDescent="0.25">
      <c r="A518" s="48">
        <v>23</v>
      </c>
      <c r="B518" s="166" t="s">
        <v>404</v>
      </c>
      <c r="C518" s="166" t="s">
        <v>406</v>
      </c>
      <c r="D518" s="138">
        <f t="shared" si="23"/>
        <v>0</v>
      </c>
      <c r="E518" s="48"/>
      <c r="F518" s="48"/>
      <c r="G518" s="35"/>
      <c r="H518" s="35"/>
      <c r="I518" s="35"/>
      <c r="J518" s="35"/>
      <c r="K518" s="35"/>
      <c r="L518" s="35"/>
      <c r="M518" s="48"/>
      <c r="N518" s="48"/>
      <c r="O518" s="48"/>
      <c r="P518" s="35"/>
      <c r="Q518" s="48"/>
      <c r="R518" s="40"/>
      <c r="S518" s="40"/>
      <c r="T518" s="40"/>
      <c r="U518" s="40"/>
      <c r="V518" s="48"/>
      <c r="W518" s="48"/>
      <c r="X518" s="48"/>
      <c r="Y518" s="48"/>
      <c r="Z518" s="48"/>
      <c r="AA518" s="48"/>
      <c r="AB518" s="48"/>
      <c r="AC518" s="35"/>
      <c r="AD518" s="35"/>
      <c r="AE518" s="35"/>
      <c r="AF518" s="35"/>
      <c r="AG518" s="35"/>
      <c r="AH518" s="48"/>
      <c r="AI518" s="35"/>
    </row>
    <row r="519" spans="1:35" x14ac:dyDescent="0.25">
      <c r="A519" s="48">
        <v>24</v>
      </c>
      <c r="B519" s="176" t="s">
        <v>959</v>
      </c>
      <c r="C519" s="176" t="s">
        <v>958</v>
      </c>
      <c r="D519" s="138">
        <f t="shared" si="23"/>
        <v>7911</v>
      </c>
      <c r="E519" s="48"/>
      <c r="F519" s="48"/>
      <c r="G519" s="35">
        <v>7911</v>
      </c>
      <c r="H519" s="35"/>
      <c r="I519" s="35"/>
      <c r="J519" s="35"/>
      <c r="K519" s="35"/>
      <c r="L519" s="35"/>
      <c r="M519" s="48"/>
      <c r="N519" s="48"/>
      <c r="O519" s="48"/>
      <c r="P519" s="35"/>
      <c r="Q519" s="48"/>
      <c r="R519" s="40"/>
      <c r="S519" s="40"/>
      <c r="T519" s="40"/>
      <c r="U519" s="40"/>
      <c r="V519" s="48"/>
      <c r="W519" s="48"/>
      <c r="X519" s="48"/>
      <c r="Y519" s="48"/>
      <c r="Z519" s="48"/>
      <c r="AA519" s="48"/>
      <c r="AB519" s="48"/>
      <c r="AC519" s="35"/>
      <c r="AD519" s="35"/>
      <c r="AE519" s="35"/>
      <c r="AF519" s="35"/>
      <c r="AG519" s="35"/>
      <c r="AH519" s="48"/>
      <c r="AI519" s="35"/>
    </row>
    <row r="520" spans="1:35" x14ac:dyDescent="0.25">
      <c r="A520" s="48">
        <v>25</v>
      </c>
      <c r="B520" s="166" t="s">
        <v>641</v>
      </c>
      <c r="C520" s="166" t="s">
        <v>639</v>
      </c>
      <c r="D520" s="138">
        <f t="shared" si="23"/>
        <v>1030</v>
      </c>
      <c r="E520" s="48"/>
      <c r="F520" s="48"/>
      <c r="G520" s="35"/>
      <c r="H520" s="35"/>
      <c r="I520" s="35"/>
      <c r="J520" s="35"/>
      <c r="K520" s="35"/>
      <c r="L520" s="35"/>
      <c r="M520" s="48"/>
      <c r="N520" s="48"/>
      <c r="O520" s="48"/>
      <c r="P520" s="35"/>
      <c r="Q520" s="48"/>
      <c r="R520" s="40"/>
      <c r="S520" s="40"/>
      <c r="T520" s="40"/>
      <c r="U520" s="40"/>
      <c r="V520" s="48"/>
      <c r="W520" s="48"/>
      <c r="X520" s="48"/>
      <c r="Y520" s="48"/>
      <c r="Z520" s="48"/>
      <c r="AA520" s="48"/>
      <c r="AB520" s="48"/>
      <c r="AC520" s="35"/>
      <c r="AD520" s="35"/>
      <c r="AE520" s="35"/>
      <c r="AF520" s="35">
        <v>1030</v>
      </c>
      <c r="AG520" s="35"/>
      <c r="AH520" s="48"/>
      <c r="AI520" s="35"/>
    </row>
    <row r="521" spans="1:35" x14ac:dyDescent="0.25">
      <c r="A521" s="48">
        <v>26</v>
      </c>
      <c r="B521" s="166" t="s">
        <v>642</v>
      </c>
      <c r="C521" s="166" t="s">
        <v>640</v>
      </c>
      <c r="D521" s="138">
        <f t="shared" si="23"/>
        <v>0</v>
      </c>
      <c r="E521" s="48"/>
      <c r="F521" s="48"/>
      <c r="G521" s="35"/>
      <c r="H521" s="35"/>
      <c r="I521" s="35"/>
      <c r="J521" s="35"/>
      <c r="K521" s="35"/>
      <c r="L521" s="35"/>
      <c r="M521" s="48"/>
      <c r="N521" s="48"/>
      <c r="O521" s="48"/>
      <c r="P521" s="35"/>
      <c r="Q521" s="48"/>
      <c r="R521" s="40"/>
      <c r="S521" s="40"/>
      <c r="T521" s="40"/>
      <c r="U521" s="40"/>
      <c r="V521" s="48"/>
      <c r="W521" s="48"/>
      <c r="X521" s="48"/>
      <c r="Y521" s="48"/>
      <c r="Z521" s="48"/>
      <c r="AA521" s="48"/>
      <c r="AB521" s="48"/>
      <c r="AC521" s="35"/>
      <c r="AD521" s="35"/>
      <c r="AE521" s="35"/>
      <c r="AF521" s="35"/>
      <c r="AG521" s="35"/>
      <c r="AH521" s="48"/>
      <c r="AI521" s="35"/>
    </row>
    <row r="522" spans="1:35" x14ac:dyDescent="0.25">
      <c r="A522" s="48">
        <v>27</v>
      </c>
      <c r="B522" s="166" t="s">
        <v>366</v>
      </c>
      <c r="C522" s="166" t="s">
        <v>365</v>
      </c>
      <c r="D522" s="138">
        <f t="shared" si="23"/>
        <v>0</v>
      </c>
      <c r="E522" s="48"/>
      <c r="F522" s="48"/>
      <c r="G522" s="35"/>
      <c r="H522" s="35"/>
      <c r="I522" s="35"/>
      <c r="J522" s="35"/>
      <c r="K522" s="35"/>
      <c r="L522" s="35"/>
      <c r="M522" s="48"/>
      <c r="N522" s="48"/>
      <c r="O522" s="48"/>
      <c r="P522" s="35"/>
      <c r="Q522" s="48"/>
      <c r="R522" s="40"/>
      <c r="S522" s="40"/>
      <c r="T522" s="40"/>
      <c r="U522" s="40"/>
      <c r="V522" s="48"/>
      <c r="W522" s="48"/>
      <c r="X522" s="48"/>
      <c r="Y522" s="48"/>
      <c r="Z522" s="48"/>
      <c r="AA522" s="48"/>
      <c r="AB522" s="48"/>
      <c r="AC522" s="35"/>
      <c r="AD522" s="35"/>
      <c r="AE522" s="35"/>
      <c r="AF522" s="35"/>
      <c r="AG522" s="35"/>
      <c r="AH522" s="48"/>
      <c r="AI522" s="35"/>
    </row>
    <row r="523" spans="1:35" x14ac:dyDescent="0.25">
      <c r="A523" s="48">
        <v>28</v>
      </c>
      <c r="B523" s="166" t="s">
        <v>218</v>
      </c>
      <c r="C523" s="166" t="s">
        <v>217</v>
      </c>
      <c r="D523" s="138">
        <f t="shared" si="23"/>
        <v>0</v>
      </c>
      <c r="E523" s="48"/>
      <c r="F523" s="48"/>
      <c r="G523" s="35"/>
      <c r="H523" s="35"/>
      <c r="I523" s="35"/>
      <c r="J523" s="35"/>
      <c r="K523" s="35"/>
      <c r="L523" s="35"/>
      <c r="M523" s="48"/>
      <c r="N523" s="48"/>
      <c r="O523" s="48"/>
      <c r="P523" s="35"/>
      <c r="Q523" s="48"/>
      <c r="R523" s="40"/>
      <c r="S523" s="40"/>
      <c r="T523" s="40"/>
      <c r="U523" s="40"/>
      <c r="V523" s="48"/>
      <c r="W523" s="48"/>
      <c r="X523" s="48"/>
      <c r="Y523" s="48"/>
      <c r="Z523" s="48"/>
      <c r="AA523" s="48"/>
      <c r="AB523" s="48"/>
      <c r="AC523" s="35"/>
      <c r="AD523" s="35"/>
      <c r="AE523" s="35"/>
      <c r="AF523" s="35"/>
      <c r="AG523" s="35"/>
      <c r="AH523" s="48"/>
      <c r="AI523" s="35"/>
    </row>
    <row r="524" spans="1:35" x14ac:dyDescent="0.25">
      <c r="A524" s="48">
        <v>29</v>
      </c>
      <c r="B524" s="166" t="s">
        <v>426</v>
      </c>
      <c r="C524" s="166" t="s">
        <v>427</v>
      </c>
      <c r="D524" s="138">
        <f t="shared" si="23"/>
        <v>0</v>
      </c>
      <c r="E524" s="48"/>
      <c r="F524" s="48"/>
      <c r="G524" s="35"/>
      <c r="H524" s="35"/>
      <c r="I524" s="35"/>
      <c r="J524" s="35"/>
      <c r="K524" s="35"/>
      <c r="L524" s="35"/>
      <c r="M524" s="48"/>
      <c r="N524" s="48"/>
      <c r="O524" s="48"/>
      <c r="P524" s="35"/>
      <c r="Q524" s="48"/>
      <c r="R524" s="40"/>
      <c r="S524" s="40"/>
      <c r="T524" s="40"/>
      <c r="U524" s="40"/>
      <c r="V524" s="48"/>
      <c r="W524" s="48"/>
      <c r="X524" s="48"/>
      <c r="Y524" s="48"/>
      <c r="Z524" s="48"/>
      <c r="AA524" s="48"/>
      <c r="AB524" s="48"/>
      <c r="AC524" s="35"/>
      <c r="AD524" s="35"/>
      <c r="AE524" s="35"/>
      <c r="AF524" s="35"/>
      <c r="AG524" s="35"/>
      <c r="AH524" s="48"/>
      <c r="AI524" s="35"/>
    </row>
    <row r="525" spans="1:35" x14ac:dyDescent="0.25">
      <c r="A525" s="48">
        <v>30</v>
      </c>
      <c r="B525" s="166" t="s">
        <v>130</v>
      </c>
      <c r="C525" s="166" t="s">
        <v>129</v>
      </c>
      <c r="D525" s="138">
        <f t="shared" si="23"/>
        <v>0</v>
      </c>
      <c r="E525" s="48"/>
      <c r="F525" s="48"/>
      <c r="G525" s="35"/>
      <c r="H525" s="35"/>
      <c r="I525" s="35"/>
      <c r="J525" s="35"/>
      <c r="K525" s="35"/>
      <c r="L525" s="35"/>
      <c r="M525" s="48"/>
      <c r="N525" s="48"/>
      <c r="O525" s="48"/>
      <c r="P525" s="35"/>
      <c r="Q525" s="48"/>
      <c r="R525" s="40"/>
      <c r="S525" s="40"/>
      <c r="T525" s="40"/>
      <c r="U525" s="40"/>
      <c r="V525" s="48"/>
      <c r="W525" s="48"/>
      <c r="X525" s="48"/>
      <c r="Y525" s="48"/>
      <c r="Z525" s="48"/>
      <c r="AA525" s="48"/>
      <c r="AB525" s="48"/>
      <c r="AC525" s="35"/>
      <c r="AD525" s="35"/>
      <c r="AE525" s="35"/>
      <c r="AF525" s="35"/>
      <c r="AG525" s="35"/>
      <c r="AH525" s="48"/>
      <c r="AI525" s="35"/>
    </row>
    <row r="526" spans="1:35" x14ac:dyDescent="0.25">
      <c r="A526" s="48">
        <v>31</v>
      </c>
      <c r="B526" s="166" t="s">
        <v>724</v>
      </c>
      <c r="C526" s="166" t="s">
        <v>721</v>
      </c>
      <c r="D526" s="138">
        <f t="shared" si="23"/>
        <v>1500</v>
      </c>
      <c r="E526" s="48"/>
      <c r="F526" s="48"/>
      <c r="G526" s="35"/>
      <c r="H526" s="35"/>
      <c r="I526" s="35"/>
      <c r="J526" s="35"/>
      <c r="K526" s="35"/>
      <c r="L526" s="35"/>
      <c r="M526" s="48"/>
      <c r="N526" s="48"/>
      <c r="O526" s="48"/>
      <c r="P526" s="35"/>
      <c r="Q526" s="48"/>
      <c r="R526" s="40"/>
      <c r="S526" s="40"/>
      <c r="T526" s="40"/>
      <c r="U526" s="40"/>
      <c r="V526" s="48"/>
      <c r="W526" s="48">
        <f>41*14</f>
        <v>574</v>
      </c>
      <c r="X526" s="48">
        <f>66*14+2</f>
        <v>926</v>
      </c>
      <c r="Y526" s="48"/>
      <c r="Z526" s="48"/>
      <c r="AA526" s="48"/>
      <c r="AB526" s="48"/>
      <c r="AC526" s="35"/>
      <c r="AD526" s="35"/>
      <c r="AE526" s="35"/>
      <c r="AF526" s="35"/>
      <c r="AG526" s="35"/>
      <c r="AH526" s="48"/>
      <c r="AI526" s="35"/>
    </row>
    <row r="527" spans="1:35" x14ac:dyDescent="0.25">
      <c r="A527" s="48">
        <v>32</v>
      </c>
      <c r="B527" s="166" t="s">
        <v>725</v>
      </c>
      <c r="C527" s="166" t="s">
        <v>722</v>
      </c>
      <c r="D527" s="138">
        <f t="shared" si="23"/>
        <v>0</v>
      </c>
      <c r="E527" s="48"/>
      <c r="F527" s="48"/>
      <c r="G527" s="35"/>
      <c r="H527" s="35"/>
      <c r="I527" s="35"/>
      <c r="J527" s="35"/>
      <c r="K527" s="35"/>
      <c r="L527" s="35"/>
      <c r="M527" s="48"/>
      <c r="N527" s="48"/>
      <c r="O527" s="48"/>
      <c r="P527" s="35"/>
      <c r="Q527" s="48"/>
      <c r="R527" s="40"/>
      <c r="S527" s="40"/>
      <c r="T527" s="40"/>
      <c r="U527" s="40"/>
      <c r="V527" s="48"/>
      <c r="W527" s="48"/>
      <c r="X527" s="48"/>
      <c r="Y527" s="48"/>
      <c r="Z527" s="48"/>
      <c r="AA527" s="48"/>
      <c r="AB527" s="48"/>
      <c r="AC527" s="35"/>
      <c r="AD527" s="35"/>
      <c r="AE527" s="35"/>
      <c r="AF527" s="35"/>
      <c r="AG527" s="35"/>
      <c r="AH527" s="48"/>
      <c r="AI527" s="35"/>
    </row>
    <row r="528" spans="1:35" x14ac:dyDescent="0.25">
      <c r="A528" s="48">
        <v>33</v>
      </c>
      <c r="B528" s="166" t="s">
        <v>726</v>
      </c>
      <c r="C528" s="166" t="s">
        <v>723</v>
      </c>
      <c r="D528" s="138">
        <f t="shared" si="23"/>
        <v>0</v>
      </c>
      <c r="E528" s="48"/>
      <c r="F528" s="48"/>
      <c r="G528" s="35"/>
      <c r="H528" s="35"/>
      <c r="I528" s="35"/>
      <c r="J528" s="35"/>
      <c r="K528" s="35"/>
      <c r="L528" s="35"/>
      <c r="M528" s="48"/>
      <c r="N528" s="48"/>
      <c r="O528" s="48"/>
      <c r="P528" s="35"/>
      <c r="Q528" s="48"/>
      <c r="R528" s="40"/>
      <c r="S528" s="40"/>
      <c r="T528" s="40"/>
      <c r="U528" s="40"/>
      <c r="V528" s="48"/>
      <c r="W528" s="48"/>
      <c r="X528" s="48"/>
      <c r="Y528" s="48"/>
      <c r="Z528" s="48"/>
      <c r="AA528" s="48"/>
      <c r="AB528" s="48"/>
      <c r="AC528" s="35"/>
      <c r="AD528" s="35"/>
      <c r="AE528" s="35"/>
      <c r="AF528" s="35"/>
      <c r="AG528" s="35"/>
      <c r="AH528" s="48"/>
      <c r="AI528" s="35"/>
    </row>
    <row r="529" spans="1:35" x14ac:dyDescent="0.25">
      <c r="A529" s="48">
        <v>34</v>
      </c>
      <c r="B529" s="166" t="s">
        <v>260</v>
      </c>
      <c r="C529" s="166" t="s">
        <v>259</v>
      </c>
      <c r="D529" s="138">
        <f t="shared" si="23"/>
        <v>2400</v>
      </c>
      <c r="E529" s="48"/>
      <c r="F529" s="48"/>
      <c r="G529" s="35"/>
      <c r="H529" s="35"/>
      <c r="I529" s="35"/>
      <c r="J529" s="35"/>
      <c r="K529" s="35"/>
      <c r="L529" s="35"/>
      <c r="M529" s="48"/>
      <c r="N529" s="48"/>
      <c r="O529" s="48"/>
      <c r="P529" s="35"/>
      <c r="Q529" s="48"/>
      <c r="R529" s="40"/>
      <c r="S529" s="40"/>
      <c r="T529" s="40"/>
      <c r="U529" s="40"/>
      <c r="V529" s="48"/>
      <c r="W529" s="48"/>
      <c r="X529" s="48">
        <v>2400</v>
      </c>
      <c r="Y529" s="48"/>
      <c r="Z529" s="48"/>
      <c r="AA529" s="48"/>
      <c r="AB529" s="48"/>
      <c r="AC529" s="35"/>
      <c r="AD529" s="35"/>
      <c r="AE529" s="35"/>
      <c r="AF529" s="35"/>
      <c r="AG529" s="35"/>
      <c r="AH529" s="48"/>
      <c r="AI529" s="35"/>
    </row>
    <row r="530" spans="1:35" x14ac:dyDescent="0.25">
      <c r="A530" s="48">
        <v>35</v>
      </c>
      <c r="B530" s="166" t="s">
        <v>171</v>
      </c>
      <c r="C530" s="166" t="s">
        <v>170</v>
      </c>
      <c r="D530" s="138">
        <f t="shared" si="23"/>
        <v>0</v>
      </c>
      <c r="E530" s="48"/>
      <c r="F530" s="48"/>
      <c r="G530" s="35"/>
      <c r="H530" s="35"/>
      <c r="I530" s="35"/>
      <c r="J530" s="35"/>
      <c r="K530" s="35"/>
      <c r="L530" s="35"/>
      <c r="M530" s="48"/>
      <c r="N530" s="48"/>
      <c r="O530" s="48"/>
      <c r="P530" s="35"/>
      <c r="Q530" s="48"/>
      <c r="R530" s="40"/>
      <c r="S530" s="40"/>
      <c r="T530" s="40"/>
      <c r="U530" s="40"/>
      <c r="V530" s="48"/>
      <c r="W530" s="48"/>
      <c r="X530" s="48"/>
      <c r="Y530" s="48"/>
      <c r="Z530" s="48"/>
      <c r="AA530" s="48"/>
      <c r="AB530" s="48"/>
      <c r="AC530" s="35"/>
      <c r="AD530" s="35"/>
      <c r="AE530" s="35"/>
      <c r="AF530" s="35"/>
      <c r="AG530" s="35"/>
      <c r="AH530" s="48"/>
      <c r="AI530" s="35"/>
    </row>
    <row r="531" spans="1:35" x14ac:dyDescent="0.25">
      <c r="A531" s="48">
        <v>36</v>
      </c>
      <c r="B531" s="166" t="s">
        <v>645</v>
      </c>
      <c r="C531" s="166" t="s">
        <v>643</v>
      </c>
      <c r="D531" s="138">
        <f t="shared" si="23"/>
        <v>100</v>
      </c>
      <c r="E531" s="48"/>
      <c r="F531" s="48"/>
      <c r="G531" s="35"/>
      <c r="H531" s="35">
        <v>100</v>
      </c>
      <c r="I531" s="35"/>
      <c r="J531" s="35"/>
      <c r="K531" s="35"/>
      <c r="L531" s="35"/>
      <c r="M531" s="48"/>
      <c r="N531" s="48"/>
      <c r="O531" s="48"/>
      <c r="P531" s="35"/>
      <c r="Q531" s="48"/>
      <c r="R531" s="40"/>
      <c r="S531" s="40"/>
      <c r="T531" s="40"/>
      <c r="U531" s="40"/>
      <c r="V531" s="48"/>
      <c r="W531" s="48"/>
      <c r="X531" s="48"/>
      <c r="Y531" s="48"/>
      <c r="Z531" s="48"/>
      <c r="AA531" s="48"/>
      <c r="AB531" s="48"/>
      <c r="AC531" s="35"/>
      <c r="AD531" s="35"/>
      <c r="AE531" s="35"/>
      <c r="AF531" s="35"/>
      <c r="AG531" s="35"/>
      <c r="AH531" s="48"/>
      <c r="AI531" s="35"/>
    </row>
    <row r="532" spans="1:35" x14ac:dyDescent="0.25">
      <c r="A532" s="48">
        <v>37</v>
      </c>
      <c r="B532" s="166" t="s">
        <v>646</v>
      </c>
      <c r="C532" s="166" t="s">
        <v>644</v>
      </c>
      <c r="D532" s="138">
        <f t="shared" si="23"/>
        <v>0</v>
      </c>
      <c r="E532" s="48"/>
      <c r="F532" s="48"/>
      <c r="G532" s="35"/>
      <c r="H532" s="35"/>
      <c r="I532" s="35"/>
      <c r="J532" s="35"/>
      <c r="K532" s="35"/>
      <c r="L532" s="35"/>
      <c r="M532" s="48"/>
      <c r="N532" s="48"/>
      <c r="O532" s="48"/>
      <c r="P532" s="35"/>
      <c r="Q532" s="48"/>
      <c r="R532" s="40"/>
      <c r="S532" s="40"/>
      <c r="T532" s="40"/>
      <c r="U532" s="40"/>
      <c r="V532" s="48"/>
      <c r="W532" s="48"/>
      <c r="X532" s="48"/>
      <c r="Y532" s="48"/>
      <c r="Z532" s="48"/>
      <c r="AA532" s="48"/>
      <c r="AB532" s="48"/>
      <c r="AC532" s="35"/>
      <c r="AD532" s="35"/>
      <c r="AE532" s="35"/>
      <c r="AF532" s="35"/>
      <c r="AG532" s="35"/>
      <c r="AH532" s="48"/>
      <c r="AI532" s="35"/>
    </row>
    <row r="533" spans="1:35" x14ac:dyDescent="0.25">
      <c r="A533" s="48">
        <v>38</v>
      </c>
      <c r="B533" s="176" t="s">
        <v>1116</v>
      </c>
      <c r="C533" s="176" t="s">
        <v>1115</v>
      </c>
      <c r="D533" s="138">
        <f t="shared" si="23"/>
        <v>500</v>
      </c>
      <c r="E533" s="48"/>
      <c r="F533" s="48"/>
      <c r="G533" s="35"/>
      <c r="H533" s="35"/>
      <c r="I533" s="35"/>
      <c r="J533" s="35"/>
      <c r="K533" s="35"/>
      <c r="L533" s="35"/>
      <c r="M533" s="48"/>
      <c r="N533" s="48"/>
      <c r="O533" s="48"/>
      <c r="P533" s="35"/>
      <c r="Q533" s="48"/>
      <c r="R533" s="40"/>
      <c r="S533" s="40"/>
      <c r="T533" s="40"/>
      <c r="U533" s="40"/>
      <c r="V533" s="48"/>
      <c r="W533" s="48"/>
      <c r="X533" s="48"/>
      <c r="Y533" s="48">
        <v>500</v>
      </c>
      <c r="Z533" s="48"/>
      <c r="AA533" s="48"/>
      <c r="AB533" s="48"/>
      <c r="AC533" s="35"/>
      <c r="AD533" s="35"/>
      <c r="AE533" s="35"/>
      <c r="AF533" s="35"/>
      <c r="AG533" s="35"/>
      <c r="AH533" s="48"/>
      <c r="AI533" s="35"/>
    </row>
    <row r="534" spans="1:35" x14ac:dyDescent="0.25">
      <c r="A534" s="48">
        <v>39</v>
      </c>
      <c r="B534" s="166" t="s">
        <v>531</v>
      </c>
      <c r="C534" s="166" t="s">
        <v>530</v>
      </c>
      <c r="D534" s="138">
        <f t="shared" si="23"/>
        <v>1300</v>
      </c>
      <c r="E534" s="48"/>
      <c r="F534" s="48"/>
      <c r="G534" s="35"/>
      <c r="H534" s="35"/>
      <c r="I534" s="35"/>
      <c r="J534" s="35"/>
      <c r="K534" s="35"/>
      <c r="L534" s="35"/>
      <c r="M534" s="48"/>
      <c r="N534" s="48"/>
      <c r="O534" s="48"/>
      <c r="P534" s="35"/>
      <c r="Q534" s="48"/>
      <c r="R534" s="40"/>
      <c r="S534" s="40"/>
      <c r="T534" s="40"/>
      <c r="U534" s="40"/>
      <c r="V534" s="48"/>
      <c r="W534" s="48"/>
      <c r="X534" s="48">
        <v>1296</v>
      </c>
      <c r="Y534" s="48"/>
      <c r="Z534" s="48"/>
      <c r="AA534" s="48"/>
      <c r="AB534" s="48"/>
      <c r="AC534" s="35"/>
      <c r="AD534" s="35"/>
      <c r="AE534" s="35"/>
      <c r="AF534" s="35"/>
      <c r="AG534" s="35"/>
      <c r="AH534" s="48"/>
      <c r="AI534" s="35">
        <v>4</v>
      </c>
    </row>
    <row r="535" spans="1:35" x14ac:dyDescent="0.25">
      <c r="A535" s="48">
        <v>40</v>
      </c>
      <c r="B535" s="166" t="s">
        <v>183</v>
      </c>
      <c r="C535" s="166" t="s">
        <v>182</v>
      </c>
      <c r="D535" s="138">
        <f t="shared" si="23"/>
        <v>0</v>
      </c>
      <c r="E535" s="48"/>
      <c r="F535" s="48"/>
      <c r="G535" s="35"/>
      <c r="H535" s="35"/>
      <c r="I535" s="35"/>
      <c r="J535" s="35"/>
      <c r="K535" s="35"/>
      <c r="L535" s="35"/>
      <c r="M535" s="48"/>
      <c r="N535" s="48"/>
      <c r="O535" s="48"/>
      <c r="P535" s="35"/>
      <c r="Q535" s="48"/>
      <c r="R535" s="40"/>
      <c r="S535" s="40"/>
      <c r="T535" s="40"/>
      <c r="U535" s="40"/>
      <c r="V535" s="48"/>
      <c r="W535" s="48"/>
      <c r="X535" s="48"/>
      <c r="Y535" s="48"/>
      <c r="Z535" s="48"/>
      <c r="AA535" s="48"/>
      <c r="AB535" s="48"/>
      <c r="AC535" s="35"/>
      <c r="AD535" s="35"/>
      <c r="AE535" s="35"/>
      <c r="AF535" s="35"/>
      <c r="AG535" s="35"/>
      <c r="AH535" s="48"/>
      <c r="AI535" s="35"/>
    </row>
    <row r="536" spans="1:35" x14ac:dyDescent="0.25">
      <c r="A536" s="141" t="s">
        <v>140</v>
      </c>
      <c r="B536" s="33" t="s">
        <v>97</v>
      </c>
      <c r="C536" s="141" t="s">
        <v>141</v>
      </c>
      <c r="D536" s="149">
        <f t="shared" ref="D536:AI536" si="24">SUM(D537:D577)</f>
        <v>340000</v>
      </c>
      <c r="E536" s="149">
        <f t="shared" si="24"/>
        <v>0</v>
      </c>
      <c r="F536" s="149">
        <f t="shared" si="24"/>
        <v>0</v>
      </c>
      <c r="G536" s="149">
        <f t="shared" si="24"/>
        <v>0</v>
      </c>
      <c r="H536" s="149">
        <f t="shared" si="24"/>
        <v>0</v>
      </c>
      <c r="I536" s="149">
        <f t="shared" si="24"/>
        <v>20000</v>
      </c>
      <c r="J536" s="149">
        <f t="shared" si="24"/>
        <v>31000</v>
      </c>
      <c r="K536" s="149">
        <f t="shared" si="24"/>
        <v>5100</v>
      </c>
      <c r="L536" s="149">
        <f t="shared" si="24"/>
        <v>23850</v>
      </c>
      <c r="M536" s="149">
        <f t="shared" si="24"/>
        <v>5150</v>
      </c>
      <c r="N536" s="149">
        <f t="shared" si="24"/>
        <v>20000</v>
      </c>
      <c r="O536" s="149">
        <f t="shared" si="24"/>
        <v>6600</v>
      </c>
      <c r="P536" s="149">
        <f t="shared" si="24"/>
        <v>23800</v>
      </c>
      <c r="Q536" s="149">
        <f t="shared" si="24"/>
        <v>5100</v>
      </c>
      <c r="R536" s="149">
        <f t="shared" si="24"/>
        <v>0</v>
      </c>
      <c r="S536" s="149">
        <f t="shared" si="24"/>
        <v>0</v>
      </c>
      <c r="T536" s="149">
        <f t="shared" si="24"/>
        <v>0</v>
      </c>
      <c r="U536" s="149">
        <f t="shared" si="24"/>
        <v>20200</v>
      </c>
      <c r="V536" s="149">
        <f t="shared" si="24"/>
        <v>21300</v>
      </c>
      <c r="W536" s="149">
        <f t="shared" si="24"/>
        <v>17040</v>
      </c>
      <c r="X536" s="149">
        <f t="shared" si="24"/>
        <v>22860</v>
      </c>
      <c r="Y536" s="149">
        <f t="shared" si="24"/>
        <v>0</v>
      </c>
      <c r="Z536" s="149">
        <f t="shared" si="24"/>
        <v>25520</v>
      </c>
      <c r="AA536" s="149">
        <f t="shared" si="24"/>
        <v>30480</v>
      </c>
      <c r="AB536" s="149">
        <f t="shared" si="24"/>
        <v>17000</v>
      </c>
      <c r="AC536" s="149">
        <f t="shared" si="24"/>
        <v>15000</v>
      </c>
      <c r="AD536" s="149">
        <f t="shared" si="24"/>
        <v>20000</v>
      </c>
      <c r="AE536" s="149">
        <f t="shared" si="24"/>
        <v>10000</v>
      </c>
      <c r="AF536" s="149">
        <f t="shared" si="24"/>
        <v>0</v>
      </c>
      <c r="AG536" s="149">
        <f t="shared" si="24"/>
        <v>0</v>
      </c>
      <c r="AH536" s="149">
        <f t="shared" si="24"/>
        <v>0</v>
      </c>
      <c r="AI536" s="149">
        <f t="shared" si="24"/>
        <v>0</v>
      </c>
    </row>
    <row r="537" spans="1:35" x14ac:dyDescent="0.25">
      <c r="A537" s="48">
        <v>1</v>
      </c>
      <c r="B537" s="166" t="s">
        <v>790</v>
      </c>
      <c r="C537" s="166" t="s">
        <v>785</v>
      </c>
      <c r="D537" s="138">
        <f t="shared" ref="D537:D577" si="25">SUM(E537:AI537)</f>
        <v>22500</v>
      </c>
      <c r="E537" s="48"/>
      <c r="F537" s="48"/>
      <c r="G537" s="35"/>
      <c r="H537" s="35"/>
      <c r="I537" s="35"/>
      <c r="J537" s="35"/>
      <c r="K537" s="35"/>
      <c r="L537" s="35"/>
      <c r="M537" s="48"/>
      <c r="N537" s="48"/>
      <c r="O537" s="48"/>
      <c r="P537" s="35"/>
      <c r="Q537" s="35"/>
      <c r="R537" s="40"/>
      <c r="S537" s="40"/>
      <c r="T537" s="40"/>
      <c r="U537" s="40">
        <v>10200</v>
      </c>
      <c r="V537" s="48">
        <v>4300</v>
      </c>
      <c r="W537" s="48"/>
      <c r="X537" s="48"/>
      <c r="Y537" s="48"/>
      <c r="Z537" s="48"/>
      <c r="AA537" s="48">
        <v>3000</v>
      </c>
      <c r="AB537" s="35"/>
      <c r="AC537" s="35"/>
      <c r="AD537" s="35"/>
      <c r="AE537" s="35">
        <v>5000</v>
      </c>
      <c r="AF537" s="35"/>
      <c r="AG537" s="35"/>
      <c r="AH537" s="48"/>
      <c r="AI537" s="48"/>
    </row>
    <row r="538" spans="1:35" x14ac:dyDescent="0.25">
      <c r="A538" s="48">
        <v>2</v>
      </c>
      <c r="B538" s="166" t="s">
        <v>791</v>
      </c>
      <c r="C538" s="166" t="s">
        <v>786</v>
      </c>
      <c r="D538" s="138">
        <f t="shared" si="25"/>
        <v>38000</v>
      </c>
      <c r="E538" s="48"/>
      <c r="F538" s="48"/>
      <c r="G538" s="35"/>
      <c r="H538" s="35"/>
      <c r="I538" s="35"/>
      <c r="J538" s="35"/>
      <c r="K538" s="35"/>
      <c r="L538" s="35"/>
      <c r="M538" s="48">
        <v>5100</v>
      </c>
      <c r="N538" s="48">
        <v>20000</v>
      </c>
      <c r="O538" s="48"/>
      <c r="P538" s="35"/>
      <c r="Q538" s="35"/>
      <c r="R538" s="40"/>
      <c r="S538" s="40"/>
      <c r="T538" s="40"/>
      <c r="U538" s="40">
        <v>4900</v>
      </c>
      <c r="V538" s="48"/>
      <c r="W538" s="48">
        <v>3000</v>
      </c>
      <c r="X538" s="48"/>
      <c r="Y538" s="48"/>
      <c r="Z538" s="48"/>
      <c r="AA538" s="48"/>
      <c r="AB538" s="35"/>
      <c r="AC538" s="35"/>
      <c r="AD538" s="35">
        <v>5000</v>
      </c>
      <c r="AE538" s="35"/>
      <c r="AF538" s="35"/>
      <c r="AG538" s="35"/>
      <c r="AH538" s="48"/>
      <c r="AI538" s="48"/>
    </row>
    <row r="539" spans="1:35" x14ac:dyDescent="0.25">
      <c r="A539" s="48">
        <v>3</v>
      </c>
      <c r="B539" s="166" t="s">
        <v>792</v>
      </c>
      <c r="C539" s="166" t="s">
        <v>787</v>
      </c>
      <c r="D539" s="138">
        <f t="shared" si="25"/>
        <v>15500</v>
      </c>
      <c r="E539" s="48"/>
      <c r="F539" s="48"/>
      <c r="G539" s="35"/>
      <c r="H539" s="35"/>
      <c r="I539" s="35"/>
      <c r="J539" s="35"/>
      <c r="K539" s="35"/>
      <c r="L539" s="35"/>
      <c r="M539" s="48"/>
      <c r="N539" s="48"/>
      <c r="O539" s="48"/>
      <c r="P539" s="35">
        <v>10500</v>
      </c>
      <c r="Q539" s="35"/>
      <c r="R539" s="40"/>
      <c r="S539" s="40"/>
      <c r="T539" s="40"/>
      <c r="U539" s="40"/>
      <c r="V539" s="48"/>
      <c r="W539" s="48"/>
      <c r="X539" s="48"/>
      <c r="Y539" s="48"/>
      <c r="Z539" s="48"/>
      <c r="AA539" s="48"/>
      <c r="AB539" s="35"/>
      <c r="AC539" s="35"/>
      <c r="AD539" s="35">
        <v>5000</v>
      </c>
      <c r="AE539" s="35"/>
      <c r="AF539" s="35"/>
      <c r="AG539" s="35"/>
      <c r="AH539" s="48"/>
      <c r="AI539" s="48"/>
    </row>
    <row r="540" spans="1:35" x14ac:dyDescent="0.25">
      <c r="A540" s="48">
        <v>4</v>
      </c>
      <c r="B540" s="166" t="s">
        <v>793</v>
      </c>
      <c r="C540" s="166" t="s">
        <v>788</v>
      </c>
      <c r="D540" s="138">
        <f t="shared" si="25"/>
        <v>18000</v>
      </c>
      <c r="E540" s="48"/>
      <c r="F540" s="48"/>
      <c r="G540" s="35"/>
      <c r="H540" s="35"/>
      <c r="I540" s="35"/>
      <c r="J540" s="35"/>
      <c r="K540" s="35"/>
      <c r="L540" s="35"/>
      <c r="M540" s="48"/>
      <c r="N540" s="48"/>
      <c r="O540" s="48"/>
      <c r="P540" s="35"/>
      <c r="Q540" s="35"/>
      <c r="R540" s="40"/>
      <c r="S540" s="40"/>
      <c r="T540" s="40"/>
      <c r="U540" s="40"/>
      <c r="V540" s="48"/>
      <c r="W540" s="48"/>
      <c r="X540" s="48">
        <v>13000</v>
      </c>
      <c r="Y540" s="48"/>
      <c r="Z540" s="48"/>
      <c r="AA540" s="48"/>
      <c r="AB540" s="35"/>
      <c r="AC540" s="35">
        <v>5000</v>
      </c>
      <c r="AD540" s="35"/>
      <c r="AE540" s="35"/>
      <c r="AF540" s="35"/>
      <c r="AG540" s="166"/>
      <c r="AH540" s="48"/>
      <c r="AI540" s="48"/>
    </row>
    <row r="541" spans="1:35" x14ac:dyDescent="0.25">
      <c r="A541" s="48">
        <v>5</v>
      </c>
      <c r="B541" s="166" t="s">
        <v>794</v>
      </c>
      <c r="C541" s="166" t="s">
        <v>789</v>
      </c>
      <c r="D541" s="138">
        <f t="shared" si="25"/>
        <v>23700</v>
      </c>
      <c r="E541" s="48"/>
      <c r="F541" s="48"/>
      <c r="G541" s="35"/>
      <c r="H541" s="35"/>
      <c r="I541" s="35"/>
      <c r="J541" s="35"/>
      <c r="K541" s="35"/>
      <c r="L541" s="35"/>
      <c r="M541" s="48"/>
      <c r="N541" s="48"/>
      <c r="O541" s="48">
        <v>6600</v>
      </c>
      <c r="P541" s="35">
        <v>100</v>
      </c>
      <c r="Q541" s="35"/>
      <c r="R541" s="40"/>
      <c r="S541" s="40"/>
      <c r="T541" s="40"/>
      <c r="U541" s="40"/>
      <c r="V541" s="48"/>
      <c r="W541" s="48"/>
      <c r="X541" s="48"/>
      <c r="Y541" s="48"/>
      <c r="Z541" s="48"/>
      <c r="AA541" s="48"/>
      <c r="AB541" s="35">
        <v>17000</v>
      </c>
      <c r="AC541" s="35"/>
      <c r="AD541" s="35"/>
      <c r="AE541" s="35"/>
      <c r="AF541" s="35"/>
      <c r="AG541" s="35"/>
      <c r="AH541" s="48"/>
      <c r="AI541" s="48"/>
    </row>
    <row r="542" spans="1:35" x14ac:dyDescent="0.25">
      <c r="A542" s="48">
        <v>6</v>
      </c>
      <c r="B542" s="166" t="s">
        <v>666</v>
      </c>
      <c r="C542" s="166" t="s">
        <v>667</v>
      </c>
      <c r="D542" s="138">
        <f t="shared" si="25"/>
        <v>1000</v>
      </c>
      <c r="E542" s="48"/>
      <c r="F542" s="48"/>
      <c r="G542" s="35"/>
      <c r="H542" s="35"/>
      <c r="I542" s="35"/>
      <c r="J542" s="35"/>
      <c r="K542" s="35"/>
      <c r="L542" s="35"/>
      <c r="M542" s="48"/>
      <c r="N542" s="48"/>
      <c r="O542" s="48"/>
      <c r="P542" s="35"/>
      <c r="Q542" s="35"/>
      <c r="R542" s="40"/>
      <c r="S542" s="40"/>
      <c r="T542" s="40"/>
      <c r="U542" s="40"/>
      <c r="V542" s="48"/>
      <c r="W542" s="48">
        <v>1000</v>
      </c>
      <c r="X542" s="48"/>
      <c r="Y542" s="48"/>
      <c r="Z542" s="48"/>
      <c r="AA542" s="48"/>
      <c r="AB542" s="35"/>
      <c r="AC542" s="35"/>
      <c r="AD542" s="35"/>
      <c r="AE542" s="35"/>
      <c r="AF542" s="35"/>
      <c r="AG542" s="35"/>
      <c r="AH542" s="48"/>
      <c r="AI542" s="48"/>
    </row>
    <row r="543" spans="1:35" x14ac:dyDescent="0.25">
      <c r="A543" s="48">
        <v>7</v>
      </c>
      <c r="B543" s="166" t="s">
        <v>668</v>
      </c>
      <c r="C543" s="166" t="s">
        <v>669</v>
      </c>
      <c r="D543" s="138">
        <f t="shared" si="25"/>
        <v>2000</v>
      </c>
      <c r="E543" s="137"/>
      <c r="F543" s="137"/>
      <c r="G543" s="137"/>
      <c r="H543" s="137"/>
      <c r="I543" s="137"/>
      <c r="J543" s="137"/>
      <c r="K543" s="35"/>
      <c r="L543" s="35"/>
      <c r="M543" s="137"/>
      <c r="N543" s="137"/>
      <c r="O543" s="137"/>
      <c r="P543" s="35"/>
      <c r="Q543" s="35"/>
      <c r="R543" s="40"/>
      <c r="S543" s="137"/>
      <c r="T543" s="137"/>
      <c r="U543" s="137"/>
      <c r="V543" s="137"/>
      <c r="W543" s="137">
        <v>2000</v>
      </c>
      <c r="X543" s="137"/>
      <c r="Y543" s="137"/>
      <c r="Z543" s="137"/>
      <c r="AA543" s="137"/>
      <c r="AB543" s="35"/>
      <c r="AC543" s="35"/>
      <c r="AD543" s="35"/>
      <c r="AE543" s="35"/>
      <c r="AF543" s="35"/>
      <c r="AG543" s="35"/>
      <c r="AH543" s="137"/>
      <c r="AI543" s="137"/>
    </row>
    <row r="544" spans="1:35" x14ac:dyDescent="0.25">
      <c r="A544" s="48">
        <v>8</v>
      </c>
      <c r="B544" s="166" t="s">
        <v>720</v>
      </c>
      <c r="C544" s="166" t="s">
        <v>719</v>
      </c>
      <c r="D544" s="138">
        <f t="shared" si="25"/>
        <v>0</v>
      </c>
      <c r="E544" s="48"/>
      <c r="F544" s="48"/>
      <c r="G544" s="35"/>
      <c r="H544" s="35"/>
      <c r="I544" s="35"/>
      <c r="J544" s="35"/>
      <c r="K544" s="35"/>
      <c r="L544" s="35"/>
      <c r="M544" s="48"/>
      <c r="N544" s="48"/>
      <c r="O544" s="48"/>
      <c r="P544" s="35"/>
      <c r="Q544" s="35"/>
      <c r="R544" s="40"/>
      <c r="S544" s="40"/>
      <c r="T544" s="40"/>
      <c r="U544" s="40"/>
      <c r="V544" s="48"/>
      <c r="W544" s="48"/>
      <c r="X544" s="48"/>
      <c r="Y544" s="48"/>
      <c r="Z544" s="48"/>
      <c r="AA544" s="48"/>
      <c r="AB544" s="35"/>
      <c r="AC544" s="35"/>
      <c r="AD544" s="35"/>
      <c r="AE544" s="35"/>
      <c r="AF544" s="35"/>
      <c r="AG544" s="35"/>
      <c r="AH544" s="48"/>
      <c r="AI544" s="48"/>
    </row>
    <row r="545" spans="1:35" x14ac:dyDescent="0.25">
      <c r="A545" s="48">
        <v>9</v>
      </c>
      <c r="B545" s="172" t="s">
        <v>796</v>
      </c>
      <c r="C545" s="172" t="s">
        <v>795</v>
      </c>
      <c r="D545" s="138">
        <f t="shared" si="25"/>
        <v>87300</v>
      </c>
      <c r="E545" s="48"/>
      <c r="F545" s="48"/>
      <c r="G545" s="35"/>
      <c r="H545" s="35"/>
      <c r="I545" s="35"/>
      <c r="J545" s="35">
        <v>11000</v>
      </c>
      <c r="K545" s="35">
        <v>5100</v>
      </c>
      <c r="L545" s="35">
        <v>23850</v>
      </c>
      <c r="M545" s="48">
        <v>50</v>
      </c>
      <c r="N545" s="48"/>
      <c r="O545" s="48"/>
      <c r="P545" s="35">
        <v>10200</v>
      </c>
      <c r="Q545" s="35">
        <v>5100</v>
      </c>
      <c r="R545" s="40"/>
      <c r="S545" s="40"/>
      <c r="T545" s="40"/>
      <c r="U545" s="40">
        <v>5100</v>
      </c>
      <c r="V545" s="48">
        <v>3000</v>
      </c>
      <c r="W545" s="48">
        <v>3900</v>
      </c>
      <c r="X545" s="48"/>
      <c r="Y545" s="48"/>
      <c r="Z545" s="48"/>
      <c r="AA545" s="48">
        <v>20000</v>
      </c>
      <c r="AB545" s="35"/>
      <c r="AC545" s="35"/>
      <c r="AD545" s="35"/>
      <c r="AE545" s="35"/>
      <c r="AF545" s="35"/>
      <c r="AG545" s="35"/>
      <c r="AH545" s="48"/>
      <c r="AI545" s="48"/>
    </row>
    <row r="546" spans="1:35" x14ac:dyDescent="0.25">
      <c r="A546" s="48">
        <v>11</v>
      </c>
      <c r="B546" s="166" t="s">
        <v>648</v>
      </c>
      <c r="C546" s="166" t="s">
        <v>647</v>
      </c>
      <c r="D546" s="138">
        <f t="shared" si="25"/>
        <v>0</v>
      </c>
      <c r="E546" s="48"/>
      <c r="F546" s="48"/>
      <c r="G546" s="35"/>
      <c r="H546" s="35"/>
      <c r="I546" s="35"/>
      <c r="J546" s="35"/>
      <c r="K546" s="35"/>
      <c r="L546" s="35"/>
      <c r="M546" s="48"/>
      <c r="N546" s="48"/>
      <c r="O546" s="48"/>
      <c r="P546" s="35"/>
      <c r="Q546" s="35"/>
      <c r="R546" s="40"/>
      <c r="S546" s="40"/>
      <c r="T546" s="40"/>
      <c r="U546" s="40"/>
      <c r="V546" s="48"/>
      <c r="W546" s="48"/>
      <c r="X546" s="48"/>
      <c r="Y546" s="48"/>
      <c r="Z546" s="48"/>
      <c r="AA546" s="48"/>
      <c r="AB546" s="35"/>
      <c r="AC546" s="35"/>
      <c r="AD546" s="35"/>
      <c r="AE546" s="35"/>
      <c r="AF546" s="35"/>
      <c r="AG546" s="35"/>
      <c r="AH546" s="48"/>
      <c r="AI546" s="48"/>
    </row>
    <row r="547" spans="1:35" x14ac:dyDescent="0.25">
      <c r="A547" s="48">
        <v>12</v>
      </c>
      <c r="B547" s="166" t="s">
        <v>139</v>
      </c>
      <c r="C547" s="166" t="s">
        <v>138</v>
      </c>
      <c r="D547" s="138">
        <f t="shared" si="25"/>
        <v>0</v>
      </c>
      <c r="E547" s="48"/>
      <c r="F547" s="48"/>
      <c r="G547" s="35"/>
      <c r="H547" s="35"/>
      <c r="I547" s="35"/>
      <c r="J547" s="35"/>
      <c r="K547" s="35"/>
      <c r="L547" s="35"/>
      <c r="M547" s="48"/>
      <c r="N547" s="48"/>
      <c r="O547" s="48"/>
      <c r="P547" s="35"/>
      <c r="Q547" s="35"/>
      <c r="R547" s="40"/>
      <c r="S547" s="40"/>
      <c r="T547" s="40"/>
      <c r="U547" s="40"/>
      <c r="V547" s="48"/>
      <c r="W547" s="48"/>
      <c r="X547" s="48"/>
      <c r="Y547" s="48"/>
      <c r="Z547" s="48"/>
      <c r="AA547" s="48"/>
      <c r="AB547" s="35"/>
      <c r="AC547" s="35"/>
      <c r="AD547" s="35"/>
      <c r="AE547" s="35"/>
      <c r="AF547" s="35"/>
      <c r="AG547" s="35"/>
      <c r="AH547" s="48"/>
      <c r="AI547" s="48"/>
    </row>
    <row r="548" spans="1:35" x14ac:dyDescent="0.25">
      <c r="A548" s="48">
        <v>13</v>
      </c>
      <c r="B548" s="166" t="s">
        <v>656</v>
      </c>
      <c r="C548" s="166" t="s">
        <v>655</v>
      </c>
      <c r="D548" s="138">
        <f t="shared" si="25"/>
        <v>0</v>
      </c>
      <c r="E548" s="48"/>
      <c r="F548" s="48"/>
      <c r="G548" s="35"/>
      <c r="H548" s="35"/>
      <c r="I548" s="35"/>
      <c r="J548" s="35"/>
      <c r="K548" s="35"/>
      <c r="L548" s="35"/>
      <c r="M548" s="48"/>
      <c r="N548" s="48"/>
      <c r="O548" s="48"/>
      <c r="P548" s="35"/>
      <c r="Q548" s="35"/>
      <c r="R548" s="40"/>
      <c r="S548" s="40"/>
      <c r="T548" s="40"/>
      <c r="U548" s="40"/>
      <c r="V548" s="48"/>
      <c r="W548" s="48"/>
      <c r="X548" s="48"/>
      <c r="Y548" s="48"/>
      <c r="Z548" s="48"/>
      <c r="AA548" s="48"/>
      <c r="AB548" s="35"/>
      <c r="AC548" s="35"/>
      <c r="AD548" s="35"/>
      <c r="AE548" s="35"/>
      <c r="AF548" s="35"/>
      <c r="AG548" s="35"/>
      <c r="AH548" s="48"/>
      <c r="AI548" s="48"/>
    </row>
    <row r="549" spans="1:35" x14ac:dyDescent="0.25">
      <c r="A549" s="48">
        <v>14</v>
      </c>
      <c r="B549" s="166" t="s">
        <v>133</v>
      </c>
      <c r="C549" s="166" t="s">
        <v>308</v>
      </c>
      <c r="D549" s="138">
        <f t="shared" si="25"/>
        <v>0</v>
      </c>
      <c r="E549" s="48"/>
      <c r="F549" s="48"/>
      <c r="G549" s="35"/>
      <c r="H549" s="35"/>
      <c r="I549" s="35"/>
      <c r="J549" s="35"/>
      <c r="K549" s="35"/>
      <c r="L549" s="35"/>
      <c r="M549" s="48"/>
      <c r="N549" s="48"/>
      <c r="O549" s="48"/>
      <c r="P549" s="35"/>
      <c r="Q549" s="35"/>
      <c r="R549" s="40"/>
      <c r="S549" s="40"/>
      <c r="T549" s="40"/>
      <c r="U549" s="40"/>
      <c r="V549" s="48"/>
      <c r="W549" s="48"/>
      <c r="X549" s="48"/>
      <c r="Y549" s="48"/>
      <c r="Z549" s="48"/>
      <c r="AA549" s="48"/>
      <c r="AB549" s="35"/>
      <c r="AC549" s="35"/>
      <c r="AD549" s="35"/>
      <c r="AE549" s="35"/>
      <c r="AF549" s="35"/>
      <c r="AG549" s="35"/>
      <c r="AH549" s="48"/>
      <c r="AI549" s="48"/>
    </row>
    <row r="550" spans="1:35" x14ac:dyDescent="0.25">
      <c r="A550" s="48">
        <v>15</v>
      </c>
      <c r="B550" s="166" t="s">
        <v>136</v>
      </c>
      <c r="C550" s="166" t="s">
        <v>137</v>
      </c>
      <c r="D550" s="138">
        <f t="shared" si="25"/>
        <v>0</v>
      </c>
      <c r="E550" s="48"/>
      <c r="F550" s="48"/>
      <c r="G550" s="35"/>
      <c r="H550" s="35"/>
      <c r="I550" s="35"/>
      <c r="J550" s="35"/>
      <c r="K550" s="35"/>
      <c r="L550" s="35"/>
      <c r="M550" s="48"/>
      <c r="N550" s="48"/>
      <c r="O550" s="48"/>
      <c r="P550" s="35"/>
      <c r="Q550" s="35"/>
      <c r="R550" s="40"/>
      <c r="S550" s="40"/>
      <c r="T550" s="40"/>
      <c r="U550" s="40"/>
      <c r="V550" s="48"/>
      <c r="W550" s="48"/>
      <c r="X550" s="48"/>
      <c r="Y550" s="48"/>
      <c r="Z550" s="48"/>
      <c r="AA550" s="48"/>
      <c r="AB550" s="35"/>
      <c r="AC550" s="35"/>
      <c r="AD550" s="35"/>
      <c r="AE550" s="35"/>
      <c r="AF550" s="35"/>
      <c r="AG550" s="35"/>
      <c r="AH550" s="48"/>
      <c r="AI550" s="48"/>
    </row>
    <row r="551" spans="1:35" x14ac:dyDescent="0.25">
      <c r="A551" s="48">
        <v>16</v>
      </c>
      <c r="B551" s="166" t="s">
        <v>660</v>
      </c>
      <c r="C551" s="166" t="s">
        <v>659</v>
      </c>
      <c r="D551" s="138">
        <f t="shared" si="25"/>
        <v>0</v>
      </c>
      <c r="E551" s="48"/>
      <c r="F551" s="48"/>
      <c r="G551" s="35"/>
      <c r="H551" s="35"/>
      <c r="I551" s="35"/>
      <c r="J551" s="35"/>
      <c r="K551" s="35"/>
      <c r="L551" s="35"/>
      <c r="M551" s="48"/>
      <c r="N551" s="48"/>
      <c r="O551" s="48"/>
      <c r="P551" s="35"/>
      <c r="Q551" s="35"/>
      <c r="R551" s="40"/>
      <c r="S551" s="40"/>
      <c r="T551" s="40"/>
      <c r="U551" s="40"/>
      <c r="V551" s="48"/>
      <c r="W551" s="48"/>
      <c r="X551" s="48"/>
      <c r="Y551" s="48"/>
      <c r="Z551" s="48"/>
      <c r="AA551" s="48"/>
      <c r="AB551" s="35"/>
      <c r="AC551" s="35"/>
      <c r="AD551" s="35"/>
      <c r="AE551" s="35"/>
      <c r="AF551" s="35"/>
      <c r="AG551" s="35"/>
      <c r="AH551" s="48"/>
      <c r="AI551" s="48"/>
    </row>
    <row r="552" spans="1:35" x14ac:dyDescent="0.25">
      <c r="A552" s="48">
        <v>17</v>
      </c>
      <c r="B552" s="166" t="s">
        <v>549</v>
      </c>
      <c r="C552" s="166" t="s">
        <v>877</v>
      </c>
      <c r="D552" s="138">
        <f t="shared" si="25"/>
        <v>0</v>
      </c>
      <c r="E552" s="48"/>
      <c r="F552" s="48"/>
      <c r="G552" s="35"/>
      <c r="H552" s="35"/>
      <c r="I552" s="35"/>
      <c r="J552" s="35"/>
      <c r="K552" s="35"/>
      <c r="L552" s="35"/>
      <c r="M552" s="48"/>
      <c r="N552" s="48"/>
      <c r="O552" s="48"/>
      <c r="P552" s="35"/>
      <c r="Q552" s="35"/>
      <c r="R552" s="40"/>
      <c r="S552" s="40"/>
      <c r="T552" s="40"/>
      <c r="U552" s="40"/>
      <c r="V552" s="48"/>
      <c r="W552" s="48"/>
      <c r="X552" s="48"/>
      <c r="Y552" s="48"/>
      <c r="Z552" s="48"/>
      <c r="AA552" s="48"/>
      <c r="AB552" s="35"/>
      <c r="AC552" s="35"/>
      <c r="AD552" s="35"/>
      <c r="AE552" s="35"/>
      <c r="AF552" s="35"/>
      <c r="AG552" s="35"/>
      <c r="AH552" s="48"/>
      <c r="AI552" s="48"/>
    </row>
    <row r="553" spans="1:35" x14ac:dyDescent="0.25">
      <c r="A553" s="48">
        <v>18</v>
      </c>
      <c r="B553" s="166" t="s">
        <v>315</v>
      </c>
      <c r="C553" s="166" t="s">
        <v>316</v>
      </c>
      <c r="D553" s="138">
        <f t="shared" si="25"/>
        <v>0</v>
      </c>
      <c r="E553" s="48"/>
      <c r="F553" s="48"/>
      <c r="G553" s="35"/>
      <c r="H553" s="35"/>
      <c r="I553" s="35"/>
      <c r="J553" s="35"/>
      <c r="K553" s="35"/>
      <c r="L553" s="35"/>
      <c r="M553" s="48"/>
      <c r="N553" s="48"/>
      <c r="O553" s="48"/>
      <c r="P553" s="35"/>
      <c r="Q553" s="35"/>
      <c r="R553" s="40"/>
      <c r="S553" s="40"/>
      <c r="T553" s="40"/>
      <c r="U553" s="40"/>
      <c r="V553" s="48"/>
      <c r="W553" s="48"/>
      <c r="X553" s="48"/>
      <c r="Y553" s="48"/>
      <c r="Z553" s="48"/>
      <c r="AA553" s="48"/>
      <c r="AB553" s="35"/>
      <c r="AC553" s="35"/>
      <c r="AD553" s="35"/>
      <c r="AE553" s="35"/>
      <c r="AF553" s="35"/>
      <c r="AG553" s="35"/>
      <c r="AH553" s="48"/>
      <c r="AI553" s="48"/>
    </row>
    <row r="554" spans="1:35" x14ac:dyDescent="0.25">
      <c r="A554" s="48">
        <v>19</v>
      </c>
      <c r="B554" s="166" t="s">
        <v>294</v>
      </c>
      <c r="C554" s="166" t="s">
        <v>292</v>
      </c>
      <c r="D554" s="138">
        <f t="shared" si="25"/>
        <v>5000</v>
      </c>
      <c r="E554" s="48"/>
      <c r="F554" s="48"/>
      <c r="G554" s="35"/>
      <c r="H554" s="35"/>
      <c r="I554" s="35"/>
      <c r="J554" s="35"/>
      <c r="K554" s="35"/>
      <c r="L554" s="35"/>
      <c r="M554" s="48"/>
      <c r="N554" s="48"/>
      <c r="O554" s="48"/>
      <c r="P554" s="35"/>
      <c r="Q554" s="35"/>
      <c r="R554" s="40"/>
      <c r="S554" s="40"/>
      <c r="T554" s="40"/>
      <c r="U554" s="40"/>
      <c r="V554" s="48"/>
      <c r="W554" s="48"/>
      <c r="X554" s="48"/>
      <c r="Y554" s="48"/>
      <c r="Z554" s="48"/>
      <c r="AA554" s="48"/>
      <c r="AB554" s="35"/>
      <c r="AC554" s="35"/>
      <c r="AD554" s="35">
        <v>5000</v>
      </c>
      <c r="AE554" s="35"/>
      <c r="AF554" s="35"/>
      <c r="AG554" s="35"/>
      <c r="AH554" s="48"/>
      <c r="AI554" s="48"/>
    </row>
    <row r="555" spans="1:35" x14ac:dyDescent="0.25">
      <c r="A555" s="48">
        <v>20</v>
      </c>
      <c r="B555" s="166" t="s">
        <v>295</v>
      </c>
      <c r="C555" s="166" t="s">
        <v>293</v>
      </c>
      <c r="D555" s="138">
        <f t="shared" si="25"/>
        <v>5000</v>
      </c>
      <c r="E555" s="48"/>
      <c r="F555" s="48"/>
      <c r="G555" s="35"/>
      <c r="H555" s="35"/>
      <c r="I555" s="35"/>
      <c r="J555" s="35"/>
      <c r="K555" s="35"/>
      <c r="L555" s="35"/>
      <c r="M555" s="48"/>
      <c r="N555" s="48"/>
      <c r="O555" s="48"/>
      <c r="P555" s="35"/>
      <c r="Q555" s="35"/>
      <c r="R555" s="40"/>
      <c r="S555" s="40"/>
      <c r="T555" s="40"/>
      <c r="U555" s="40"/>
      <c r="V555" s="48"/>
      <c r="W555" s="48"/>
      <c r="X555" s="48"/>
      <c r="Y555" s="48"/>
      <c r="Z555" s="48"/>
      <c r="AA555" s="48"/>
      <c r="AB555" s="35"/>
      <c r="AC555" s="35">
        <v>5000</v>
      </c>
      <c r="AD555" s="35"/>
      <c r="AE555" s="35"/>
      <c r="AF555" s="35"/>
      <c r="AG555" s="35"/>
      <c r="AH555" s="48"/>
      <c r="AI555" s="48"/>
    </row>
    <row r="556" spans="1:35" x14ac:dyDescent="0.25">
      <c r="A556" s="48">
        <v>21</v>
      </c>
      <c r="B556" s="166" t="s">
        <v>389</v>
      </c>
      <c r="C556" s="166" t="s">
        <v>388</v>
      </c>
      <c r="D556" s="138">
        <f t="shared" si="25"/>
        <v>0</v>
      </c>
      <c r="E556" s="137"/>
      <c r="F556" s="137"/>
      <c r="G556" s="137"/>
      <c r="H556" s="137"/>
      <c r="I556" s="35"/>
      <c r="J556" s="35"/>
      <c r="K556" s="137"/>
      <c r="L556" s="35"/>
      <c r="M556" s="137"/>
      <c r="N556" s="137"/>
      <c r="O556" s="137"/>
      <c r="P556" s="35"/>
      <c r="Q556" s="35"/>
      <c r="R556" s="40"/>
      <c r="S556" s="137"/>
      <c r="T556" s="137"/>
      <c r="U556" s="40"/>
      <c r="V556" s="48"/>
      <c r="W556" s="137"/>
      <c r="X556" s="137"/>
      <c r="Y556" s="137"/>
      <c r="Z556" s="48"/>
      <c r="AA556" s="137"/>
      <c r="AB556" s="35"/>
      <c r="AC556" s="35"/>
      <c r="AD556" s="35"/>
      <c r="AE556" s="35"/>
      <c r="AF556" s="35"/>
      <c r="AG556" s="35"/>
      <c r="AH556" s="137"/>
      <c r="AI556" s="137"/>
    </row>
    <row r="557" spans="1:35" x14ac:dyDescent="0.25">
      <c r="A557" s="48">
        <v>22</v>
      </c>
      <c r="B557" s="176" t="s">
        <v>860</v>
      </c>
      <c r="C557" s="176" t="s">
        <v>858</v>
      </c>
      <c r="D557" s="138">
        <f t="shared" si="25"/>
        <v>15000</v>
      </c>
      <c r="E557" s="137"/>
      <c r="F557" s="137"/>
      <c r="G557" s="137"/>
      <c r="H557" s="137"/>
      <c r="I557" s="35"/>
      <c r="J557" s="35"/>
      <c r="K557" s="137"/>
      <c r="L557" s="35"/>
      <c r="M557" s="137"/>
      <c r="N557" s="137"/>
      <c r="O557" s="137"/>
      <c r="P557" s="35"/>
      <c r="Q557" s="35"/>
      <c r="R557" s="40"/>
      <c r="S557" s="137"/>
      <c r="T557" s="137"/>
      <c r="U557" s="40"/>
      <c r="V557" s="48"/>
      <c r="W557" s="137">
        <v>7140</v>
      </c>
      <c r="X557" s="137">
        <v>7860</v>
      </c>
      <c r="Y557" s="137"/>
      <c r="Z557" s="48"/>
      <c r="AA557" s="137"/>
      <c r="AB557" s="35"/>
      <c r="AC557" s="35"/>
      <c r="AD557" s="35"/>
      <c r="AE557" s="35"/>
      <c r="AF557" s="35"/>
      <c r="AG557" s="35"/>
      <c r="AH557" s="137"/>
      <c r="AI557" s="137"/>
    </row>
    <row r="558" spans="1:35" x14ac:dyDescent="0.25">
      <c r="A558" s="48">
        <v>23</v>
      </c>
      <c r="B558" s="176" t="s">
        <v>861</v>
      </c>
      <c r="C558" s="176" t="s">
        <v>859</v>
      </c>
      <c r="D558" s="138">
        <f t="shared" si="25"/>
        <v>12000</v>
      </c>
      <c r="E558" s="137"/>
      <c r="F558" s="137"/>
      <c r="G558" s="137"/>
      <c r="H558" s="137"/>
      <c r="I558" s="35"/>
      <c r="J558" s="35"/>
      <c r="K558" s="137"/>
      <c r="L558" s="35"/>
      <c r="M558" s="137"/>
      <c r="N558" s="137"/>
      <c r="O558" s="137"/>
      <c r="P558" s="35"/>
      <c r="Q558" s="35"/>
      <c r="R558" s="40"/>
      <c r="S558" s="137"/>
      <c r="T558" s="137"/>
      <c r="U558" s="40"/>
      <c r="V558" s="48"/>
      <c r="W558" s="137"/>
      <c r="X558" s="137"/>
      <c r="Y558" s="137"/>
      <c r="Z558" s="48">
        <v>9520</v>
      </c>
      <c r="AA558" s="137">
        <v>2480</v>
      </c>
      <c r="AB558" s="35"/>
      <c r="AC558" s="35"/>
      <c r="AD558" s="35"/>
      <c r="AE558" s="35"/>
      <c r="AF558" s="35"/>
      <c r="AG558" s="35"/>
      <c r="AH558" s="137"/>
      <c r="AI558" s="137"/>
    </row>
    <row r="559" spans="1:35" x14ac:dyDescent="0.25">
      <c r="A559" s="48">
        <v>24</v>
      </c>
      <c r="B559" s="166" t="s">
        <v>818</v>
      </c>
      <c r="C559" s="166" t="s">
        <v>815</v>
      </c>
      <c r="D559" s="138">
        <f t="shared" si="25"/>
        <v>0</v>
      </c>
      <c r="E559" s="137"/>
      <c r="F559" s="137"/>
      <c r="G559" s="137"/>
      <c r="H559" s="137"/>
      <c r="I559" s="35"/>
      <c r="J559" s="35"/>
      <c r="K559" s="35"/>
      <c r="L559" s="35"/>
      <c r="M559" s="137"/>
      <c r="N559" s="137"/>
      <c r="O559" s="137"/>
      <c r="P559" s="35"/>
      <c r="Q559" s="35"/>
      <c r="R559" s="40"/>
      <c r="S559" s="137"/>
      <c r="T559" s="137"/>
      <c r="U559" s="40"/>
      <c r="V559" s="48"/>
      <c r="W559" s="137"/>
      <c r="X559" s="137"/>
      <c r="Y559" s="137"/>
      <c r="Z559" s="48"/>
      <c r="AA559" s="137"/>
      <c r="AB559" s="35"/>
      <c r="AC559" s="35"/>
      <c r="AD559" s="35"/>
      <c r="AE559" s="35"/>
      <c r="AF559" s="35"/>
      <c r="AG559" s="35"/>
      <c r="AH559" s="137"/>
      <c r="AI559" s="48"/>
    </row>
    <row r="560" spans="1:35" x14ac:dyDescent="0.25">
      <c r="A560" s="48">
        <v>25</v>
      </c>
      <c r="B560" s="166" t="s">
        <v>819</v>
      </c>
      <c r="C560" s="166" t="s">
        <v>816</v>
      </c>
      <c r="D560" s="138">
        <f t="shared" si="25"/>
        <v>2000</v>
      </c>
      <c r="E560" s="137"/>
      <c r="F560" s="137"/>
      <c r="G560" s="137"/>
      <c r="H560" s="137"/>
      <c r="I560" s="35"/>
      <c r="J560" s="35"/>
      <c r="K560" s="137"/>
      <c r="L560" s="35"/>
      <c r="M560" s="137"/>
      <c r="N560" s="137"/>
      <c r="O560" s="137"/>
      <c r="P560" s="35"/>
      <c r="Q560" s="35"/>
      <c r="R560" s="40"/>
      <c r="S560" s="137"/>
      <c r="T560" s="137"/>
      <c r="U560" s="40"/>
      <c r="V560" s="48"/>
      <c r="W560" s="137"/>
      <c r="X560" s="137">
        <v>2000</v>
      </c>
      <c r="Y560" s="137"/>
      <c r="Z560" s="48"/>
      <c r="AA560" s="137"/>
      <c r="AB560" s="35"/>
      <c r="AC560" s="35"/>
      <c r="AD560" s="35"/>
      <c r="AE560" s="35"/>
      <c r="AF560" s="35"/>
      <c r="AG560" s="35"/>
      <c r="AH560" s="137"/>
      <c r="AI560" s="48"/>
    </row>
    <row r="561" spans="1:35" x14ac:dyDescent="0.25">
      <c r="A561" s="48">
        <v>26</v>
      </c>
      <c r="B561" s="166" t="s">
        <v>820</v>
      </c>
      <c r="C561" s="166" t="s">
        <v>817</v>
      </c>
      <c r="D561" s="138">
        <f t="shared" si="25"/>
        <v>0</v>
      </c>
      <c r="E561" s="137"/>
      <c r="F561" s="137"/>
      <c r="G561" s="137"/>
      <c r="H561" s="137"/>
      <c r="I561" s="35"/>
      <c r="J561" s="35"/>
      <c r="K561" s="35"/>
      <c r="L561" s="35"/>
      <c r="M561" s="137"/>
      <c r="N561" s="137"/>
      <c r="O561" s="137"/>
      <c r="P561" s="35"/>
      <c r="Q561" s="35"/>
      <c r="R561" s="40"/>
      <c r="S561" s="137"/>
      <c r="T561" s="137"/>
      <c r="U561" s="40"/>
      <c r="V561" s="48"/>
      <c r="W561" s="137"/>
      <c r="X561" s="137"/>
      <c r="Y561" s="137"/>
      <c r="Z561" s="48"/>
      <c r="AA561" s="137"/>
      <c r="AB561" s="35"/>
      <c r="AC561" s="35"/>
      <c r="AD561" s="35"/>
      <c r="AE561" s="35"/>
      <c r="AF561" s="35"/>
      <c r="AG561" s="35"/>
      <c r="AH561" s="137"/>
      <c r="AI561" s="48"/>
    </row>
    <row r="562" spans="1:35" x14ac:dyDescent="0.25">
      <c r="A562" s="48">
        <v>27</v>
      </c>
      <c r="B562" s="166" t="s">
        <v>164</v>
      </c>
      <c r="C562" s="166" t="s">
        <v>135</v>
      </c>
      <c r="D562" s="138">
        <f t="shared" si="25"/>
        <v>0</v>
      </c>
      <c r="E562" s="137"/>
      <c r="F562" s="137"/>
      <c r="G562" s="137"/>
      <c r="H562" s="137"/>
      <c r="I562" s="35"/>
      <c r="J562" s="35"/>
      <c r="K562" s="137"/>
      <c r="L562" s="35"/>
      <c r="M562" s="137"/>
      <c r="N562" s="137"/>
      <c r="O562" s="137"/>
      <c r="P562" s="35"/>
      <c r="Q562" s="35"/>
      <c r="R562" s="40"/>
      <c r="S562" s="137"/>
      <c r="T562" s="137"/>
      <c r="U562" s="40"/>
      <c r="V562" s="48"/>
      <c r="W562" s="137"/>
      <c r="X562" s="137"/>
      <c r="Y562" s="137"/>
      <c r="Z562" s="48"/>
      <c r="AA562" s="137"/>
      <c r="AB562" s="35"/>
      <c r="AC562" s="35"/>
      <c r="AD562" s="35"/>
      <c r="AE562" s="35"/>
      <c r="AF562" s="35"/>
      <c r="AG562" s="35"/>
      <c r="AH562" s="137"/>
      <c r="AI562" s="137"/>
    </row>
    <row r="563" spans="1:35" x14ac:dyDescent="0.25">
      <c r="A563" s="48">
        <v>28</v>
      </c>
      <c r="B563" s="166" t="s">
        <v>421</v>
      </c>
      <c r="C563" s="166" t="s">
        <v>419</v>
      </c>
      <c r="D563" s="138">
        <f t="shared" si="25"/>
        <v>5000</v>
      </c>
      <c r="E563" s="137"/>
      <c r="F563" s="137"/>
      <c r="G563" s="137"/>
      <c r="H563" s="137"/>
      <c r="I563" s="35"/>
      <c r="J563" s="35"/>
      <c r="K563" s="137"/>
      <c r="L563" s="35"/>
      <c r="M563" s="137"/>
      <c r="N563" s="48"/>
      <c r="O563" s="137"/>
      <c r="P563" s="35"/>
      <c r="Q563" s="35"/>
      <c r="R563" s="40"/>
      <c r="S563" s="40"/>
      <c r="T563" s="40"/>
      <c r="U563" s="40"/>
      <c r="V563" s="48"/>
      <c r="W563" s="48"/>
      <c r="X563" s="48"/>
      <c r="Y563" s="48"/>
      <c r="Z563" s="48"/>
      <c r="AA563" s="48"/>
      <c r="AB563" s="35"/>
      <c r="AC563" s="35">
        <v>5000</v>
      </c>
      <c r="AD563" s="35"/>
      <c r="AE563" s="35"/>
      <c r="AF563" s="35"/>
      <c r="AG563" s="35"/>
      <c r="AH563" s="137"/>
      <c r="AI563" s="137"/>
    </row>
    <row r="564" spans="1:35" x14ac:dyDescent="0.25">
      <c r="A564" s="48">
        <v>29</v>
      </c>
      <c r="B564" s="166" t="s">
        <v>422</v>
      </c>
      <c r="C564" s="166" t="s">
        <v>420</v>
      </c>
      <c r="D564" s="138">
        <f t="shared" si="25"/>
        <v>10000</v>
      </c>
      <c r="E564" s="48"/>
      <c r="F564" s="48"/>
      <c r="G564" s="35"/>
      <c r="H564" s="35"/>
      <c r="I564" s="35"/>
      <c r="J564" s="35"/>
      <c r="K564" s="35"/>
      <c r="L564" s="35"/>
      <c r="M564" s="48"/>
      <c r="N564" s="48"/>
      <c r="O564" s="48"/>
      <c r="P564" s="35"/>
      <c r="Q564" s="35"/>
      <c r="R564" s="40"/>
      <c r="S564" s="40"/>
      <c r="T564" s="40"/>
      <c r="U564" s="40"/>
      <c r="V564" s="48"/>
      <c r="W564" s="48"/>
      <c r="X564" s="48"/>
      <c r="Y564" s="48"/>
      <c r="Z564" s="48"/>
      <c r="AA564" s="48">
        <v>5000</v>
      </c>
      <c r="AB564" s="35"/>
      <c r="AC564" s="35"/>
      <c r="AD564" s="35"/>
      <c r="AE564" s="35">
        <v>5000</v>
      </c>
      <c r="AF564" s="35"/>
      <c r="AG564" s="35"/>
      <c r="AH564" s="48"/>
      <c r="AI564" s="48"/>
    </row>
    <row r="565" spans="1:35" x14ac:dyDescent="0.25">
      <c r="A565" s="48">
        <v>30</v>
      </c>
      <c r="B565" s="166" t="s">
        <v>165</v>
      </c>
      <c r="C565" s="166" t="s">
        <v>134</v>
      </c>
      <c r="D565" s="138">
        <f t="shared" si="25"/>
        <v>0</v>
      </c>
      <c r="E565" s="48"/>
      <c r="F565" s="48"/>
      <c r="G565" s="35"/>
      <c r="H565" s="35"/>
      <c r="I565" s="35"/>
      <c r="J565" s="35"/>
      <c r="K565" s="35"/>
      <c r="L565" s="35"/>
      <c r="M565" s="48"/>
      <c r="N565" s="48"/>
      <c r="O565" s="48"/>
      <c r="P565" s="35"/>
      <c r="Q565" s="35"/>
      <c r="R565" s="40"/>
      <c r="S565" s="40"/>
      <c r="T565" s="40"/>
      <c r="U565" s="40"/>
      <c r="V565" s="48"/>
      <c r="W565" s="48"/>
      <c r="X565" s="48"/>
      <c r="Y565" s="48"/>
      <c r="Z565" s="48"/>
      <c r="AA565" s="48"/>
      <c r="AB565" s="35"/>
      <c r="AC565" s="35"/>
      <c r="AD565" s="35"/>
      <c r="AE565" s="35"/>
      <c r="AF565" s="35"/>
      <c r="AG565" s="35"/>
      <c r="AH565" s="48"/>
      <c r="AI565" s="48"/>
    </row>
    <row r="566" spans="1:35" x14ac:dyDescent="0.25">
      <c r="A566" s="48">
        <v>31</v>
      </c>
      <c r="B566" s="166" t="s">
        <v>549</v>
      </c>
      <c r="C566" s="166" t="s">
        <v>548</v>
      </c>
      <c r="D566" s="138">
        <f t="shared" si="25"/>
        <v>43000</v>
      </c>
      <c r="E566" s="48"/>
      <c r="F566" s="48"/>
      <c r="G566" s="35"/>
      <c r="H566" s="35"/>
      <c r="I566" s="35">
        <v>20000</v>
      </c>
      <c r="J566" s="35">
        <v>20000</v>
      </c>
      <c r="K566" s="35"/>
      <c r="L566" s="35"/>
      <c r="M566" s="48"/>
      <c r="N566" s="48"/>
      <c r="O566" s="48"/>
      <c r="P566" s="35">
        <v>3000</v>
      </c>
      <c r="Q566" s="35"/>
      <c r="R566" s="40"/>
      <c r="S566" s="40"/>
      <c r="T566" s="40"/>
      <c r="U566" s="40"/>
      <c r="V566" s="48"/>
      <c r="W566" s="48"/>
      <c r="X566" s="48"/>
      <c r="Y566" s="48"/>
      <c r="Z566" s="48"/>
      <c r="AA566" s="48"/>
      <c r="AB566" s="35"/>
      <c r="AC566" s="35"/>
      <c r="AD566" s="35"/>
      <c r="AE566" s="35"/>
      <c r="AF566" s="35"/>
      <c r="AG566" s="35"/>
      <c r="AH566" s="48"/>
      <c r="AI566" s="48"/>
    </row>
    <row r="567" spans="1:35" x14ac:dyDescent="0.25">
      <c r="A567" s="48">
        <v>32</v>
      </c>
      <c r="B567" s="166" t="s">
        <v>539</v>
      </c>
      <c r="C567" s="166" t="s">
        <v>538</v>
      </c>
      <c r="D567" s="138">
        <f t="shared" si="25"/>
        <v>0</v>
      </c>
      <c r="E567" s="48"/>
      <c r="F567" s="48"/>
      <c r="G567" s="35"/>
      <c r="H567" s="35"/>
      <c r="I567" s="35"/>
      <c r="J567" s="35"/>
      <c r="K567" s="35"/>
      <c r="L567" s="35"/>
      <c r="M567" s="48"/>
      <c r="N567" s="48"/>
      <c r="O567" s="48"/>
      <c r="P567" s="35"/>
      <c r="Q567" s="35"/>
      <c r="R567" s="40"/>
      <c r="S567" s="40"/>
      <c r="T567" s="40"/>
      <c r="U567" s="40"/>
      <c r="V567" s="48"/>
      <c r="W567" s="48"/>
      <c r="X567" s="48"/>
      <c r="Y567" s="48"/>
      <c r="Z567" s="48"/>
      <c r="AA567" s="48"/>
      <c r="AB567" s="35"/>
      <c r="AC567" s="35"/>
      <c r="AD567" s="35"/>
      <c r="AE567" s="35"/>
      <c r="AF567" s="35"/>
      <c r="AG567" s="35"/>
      <c r="AH567" s="48"/>
      <c r="AI567" s="48"/>
    </row>
    <row r="568" spans="1:35" x14ac:dyDescent="0.25">
      <c r="A568" s="48">
        <v>33</v>
      </c>
      <c r="B568" s="166" t="s">
        <v>904</v>
      </c>
      <c r="C568" s="166" t="s">
        <v>900</v>
      </c>
      <c r="D568" s="138">
        <f t="shared" si="25"/>
        <v>3000</v>
      </c>
      <c r="E568" s="48"/>
      <c r="F568" s="48"/>
      <c r="G568" s="35"/>
      <c r="H568" s="35"/>
      <c r="I568" s="35"/>
      <c r="J568" s="35"/>
      <c r="K568" s="35"/>
      <c r="L568" s="35"/>
      <c r="M568" s="48"/>
      <c r="N568" s="48"/>
      <c r="O568" s="48"/>
      <c r="P568" s="35"/>
      <c r="Q568" s="35"/>
      <c r="R568" s="40"/>
      <c r="S568" s="40"/>
      <c r="T568" s="40"/>
      <c r="U568" s="40"/>
      <c r="V568" s="48"/>
      <c r="W568" s="48"/>
      <c r="X568" s="48"/>
      <c r="Y568" s="48"/>
      <c r="Z568" s="48">
        <v>3000</v>
      </c>
      <c r="AA568" s="48"/>
      <c r="AB568" s="35"/>
      <c r="AC568" s="35"/>
      <c r="AD568" s="35"/>
      <c r="AE568" s="35"/>
      <c r="AF568" s="35"/>
      <c r="AG568" s="35"/>
      <c r="AH568" s="48"/>
      <c r="AI568" s="48"/>
    </row>
    <row r="569" spans="1:35" x14ac:dyDescent="0.25">
      <c r="A569" s="48">
        <v>34</v>
      </c>
      <c r="B569" s="166" t="s">
        <v>905</v>
      </c>
      <c r="C569" s="166" t="s">
        <v>901</v>
      </c>
      <c r="D569" s="138">
        <f t="shared" si="25"/>
        <v>3000</v>
      </c>
      <c r="E569" s="48"/>
      <c r="F569" s="48"/>
      <c r="G569" s="35"/>
      <c r="H569" s="35"/>
      <c r="I569" s="35"/>
      <c r="J569" s="35"/>
      <c r="K569" s="35"/>
      <c r="L569" s="35"/>
      <c r="M569" s="48"/>
      <c r="N569" s="48"/>
      <c r="O569" s="48"/>
      <c r="P569" s="35"/>
      <c r="Q569" s="35"/>
      <c r="R569" s="40"/>
      <c r="S569" s="40"/>
      <c r="T569" s="40"/>
      <c r="U569" s="40"/>
      <c r="V569" s="48"/>
      <c r="W569" s="48"/>
      <c r="X569" s="48"/>
      <c r="Y569" s="48"/>
      <c r="Z569" s="48">
        <v>3000</v>
      </c>
      <c r="AA569" s="48"/>
      <c r="AB569" s="35"/>
      <c r="AC569" s="35"/>
      <c r="AD569" s="35"/>
      <c r="AE569" s="35"/>
      <c r="AF569" s="35"/>
      <c r="AG569" s="35"/>
      <c r="AH569" s="48"/>
      <c r="AI569" s="48"/>
    </row>
    <row r="570" spans="1:35" x14ac:dyDescent="0.25">
      <c r="A570" s="48">
        <v>35</v>
      </c>
      <c r="B570" s="166" t="s">
        <v>906</v>
      </c>
      <c r="C570" s="166" t="s">
        <v>902</v>
      </c>
      <c r="D570" s="138">
        <f t="shared" si="25"/>
        <v>4600</v>
      </c>
      <c r="E570" s="48"/>
      <c r="F570" s="48"/>
      <c r="G570" s="35"/>
      <c r="H570" s="35"/>
      <c r="I570" s="35"/>
      <c r="J570" s="35"/>
      <c r="K570" s="35"/>
      <c r="L570" s="35"/>
      <c r="M570" s="48"/>
      <c r="N570" s="48"/>
      <c r="O570" s="48"/>
      <c r="P570" s="35"/>
      <c r="Q570" s="35"/>
      <c r="R570" s="40"/>
      <c r="S570" s="40"/>
      <c r="T570" s="40"/>
      <c r="U570" s="40"/>
      <c r="V570" s="48"/>
      <c r="W570" s="48"/>
      <c r="X570" s="48"/>
      <c r="Y570" s="48"/>
      <c r="Z570" s="48">
        <v>4600</v>
      </c>
      <c r="AA570" s="48"/>
      <c r="AB570" s="35"/>
      <c r="AC570" s="35"/>
      <c r="AD570" s="35"/>
      <c r="AE570" s="35"/>
      <c r="AF570" s="35"/>
      <c r="AG570" s="35"/>
      <c r="AH570" s="48"/>
      <c r="AI570" s="48"/>
    </row>
    <row r="571" spans="1:35" x14ac:dyDescent="0.25">
      <c r="A571" s="48">
        <v>36</v>
      </c>
      <c r="B571" s="166" t="s">
        <v>907</v>
      </c>
      <c r="C571" s="166" t="s">
        <v>903</v>
      </c>
      <c r="D571" s="138">
        <f t="shared" si="25"/>
        <v>2400</v>
      </c>
      <c r="E571" s="48"/>
      <c r="F571" s="48"/>
      <c r="G571" s="35"/>
      <c r="H571" s="35"/>
      <c r="I571" s="35"/>
      <c r="J571" s="35"/>
      <c r="K571" s="35"/>
      <c r="L571" s="35"/>
      <c r="M571" s="48"/>
      <c r="N571" s="48"/>
      <c r="O571" s="48"/>
      <c r="P571" s="35"/>
      <c r="Q571" s="35"/>
      <c r="R571" s="40"/>
      <c r="S571" s="40"/>
      <c r="T571" s="40"/>
      <c r="U571" s="40"/>
      <c r="V571" s="48"/>
      <c r="W571" s="48"/>
      <c r="X571" s="48"/>
      <c r="Y571" s="48"/>
      <c r="Z571" s="48">
        <v>2400</v>
      </c>
      <c r="AA571" s="48"/>
      <c r="AB571" s="35"/>
      <c r="AC571" s="35"/>
      <c r="AD571" s="35"/>
      <c r="AE571" s="35"/>
      <c r="AF571" s="35"/>
      <c r="AG571" s="35"/>
      <c r="AH571" s="48"/>
      <c r="AI571" s="48"/>
    </row>
    <row r="572" spans="1:35" x14ac:dyDescent="0.25">
      <c r="A572" s="48">
        <v>37</v>
      </c>
      <c r="B572" s="166" t="s">
        <v>579</v>
      </c>
      <c r="C572" s="166" t="s">
        <v>578</v>
      </c>
      <c r="D572" s="138">
        <f t="shared" si="25"/>
        <v>0</v>
      </c>
      <c r="E572" s="137"/>
      <c r="F572" s="137"/>
      <c r="G572" s="137"/>
      <c r="H572" s="137"/>
      <c r="I572" s="137"/>
      <c r="J572" s="35"/>
      <c r="K572" s="137"/>
      <c r="L572" s="35"/>
      <c r="M572" s="137"/>
      <c r="N572" s="48"/>
      <c r="O572" s="137"/>
      <c r="P572" s="35"/>
      <c r="Q572" s="35"/>
      <c r="R572" s="40"/>
      <c r="S572" s="137"/>
      <c r="T572" s="137"/>
      <c r="U572" s="40"/>
      <c r="V572" s="137"/>
      <c r="W572" s="137"/>
      <c r="X572" s="48"/>
      <c r="Y572" s="48"/>
      <c r="Z572" s="137"/>
      <c r="AA572" s="137"/>
      <c r="AB572" s="35"/>
      <c r="AC572" s="35"/>
      <c r="AD572" s="35"/>
      <c r="AE572" s="35"/>
      <c r="AF572" s="35"/>
      <c r="AG572" s="35"/>
      <c r="AH572" s="137"/>
      <c r="AI572" s="137"/>
    </row>
    <row r="573" spans="1:35" x14ac:dyDescent="0.25">
      <c r="A573" s="48">
        <v>38</v>
      </c>
      <c r="B573" s="166" t="s">
        <v>322</v>
      </c>
      <c r="C573" s="166" t="s">
        <v>321</v>
      </c>
      <c r="D573" s="138">
        <f t="shared" si="25"/>
        <v>22000</v>
      </c>
      <c r="E573" s="48"/>
      <c r="F573" s="48"/>
      <c r="G573" s="35"/>
      <c r="H573" s="35"/>
      <c r="I573" s="35"/>
      <c r="J573" s="35"/>
      <c r="K573" s="35"/>
      <c r="L573" s="35"/>
      <c r="M573" s="48"/>
      <c r="N573" s="48"/>
      <c r="O573" s="48"/>
      <c r="P573" s="35"/>
      <c r="Q573" s="35"/>
      <c r="R573" s="40"/>
      <c r="S573" s="40"/>
      <c r="T573" s="40"/>
      <c r="U573" s="40"/>
      <c r="V573" s="48">
        <v>14000</v>
      </c>
      <c r="W573" s="48"/>
      <c r="X573" s="48"/>
      <c r="Y573" s="48"/>
      <c r="Z573" s="48">
        <v>3000</v>
      </c>
      <c r="AA573" s="48"/>
      <c r="AB573" s="35"/>
      <c r="AC573" s="35"/>
      <c r="AD573" s="35">
        <v>5000</v>
      </c>
      <c r="AE573" s="35"/>
      <c r="AF573" s="35"/>
      <c r="AG573" s="35"/>
      <c r="AH573" s="48"/>
      <c r="AI573" s="48"/>
    </row>
    <row r="574" spans="1:35" x14ac:dyDescent="0.25">
      <c r="A574" s="48">
        <v>39</v>
      </c>
      <c r="B574" s="176" t="s">
        <v>933</v>
      </c>
      <c r="C574" s="176" t="s">
        <v>932</v>
      </c>
      <c r="D574" s="138">
        <f t="shared" si="25"/>
        <v>0</v>
      </c>
      <c r="E574" s="48"/>
      <c r="F574" s="48"/>
      <c r="G574" s="35"/>
      <c r="H574" s="35"/>
      <c r="I574" s="35"/>
      <c r="J574" s="35"/>
      <c r="K574" s="35"/>
      <c r="L574" s="35"/>
      <c r="M574" s="48"/>
      <c r="N574" s="48"/>
      <c r="O574" s="48"/>
      <c r="P574" s="35"/>
      <c r="Q574" s="35"/>
      <c r="R574" s="40"/>
      <c r="S574" s="40"/>
      <c r="T574" s="40"/>
      <c r="U574" s="40"/>
      <c r="V574" s="48"/>
      <c r="W574" s="48"/>
      <c r="X574" s="48"/>
      <c r="Y574" s="48"/>
      <c r="Z574" s="48"/>
      <c r="AA574" s="48"/>
      <c r="AB574" s="35"/>
      <c r="AC574" s="35"/>
      <c r="AD574" s="35"/>
      <c r="AE574" s="35"/>
      <c r="AF574" s="35"/>
      <c r="AG574" s="35"/>
      <c r="AH574" s="48"/>
      <c r="AI574" s="48"/>
    </row>
    <row r="575" spans="1:35" x14ac:dyDescent="0.25">
      <c r="A575" s="48">
        <v>40</v>
      </c>
      <c r="B575" s="166" t="s">
        <v>132</v>
      </c>
      <c r="C575" s="166" t="s">
        <v>131</v>
      </c>
      <c r="D575" s="138">
        <f t="shared" si="25"/>
        <v>0</v>
      </c>
      <c r="E575" s="48"/>
      <c r="F575" s="48"/>
      <c r="G575" s="35"/>
      <c r="H575" s="35"/>
      <c r="I575" s="35"/>
      <c r="J575" s="35"/>
      <c r="K575" s="35"/>
      <c r="L575" s="35"/>
      <c r="M575" s="48"/>
      <c r="N575" s="48"/>
      <c r="O575" s="48"/>
      <c r="P575" s="35"/>
      <c r="Q575" s="35"/>
      <c r="R575" s="40"/>
      <c r="S575" s="40"/>
      <c r="T575" s="40"/>
      <c r="U575" s="40"/>
      <c r="V575" s="48"/>
      <c r="W575" s="48"/>
      <c r="X575" s="48"/>
      <c r="Y575" s="48"/>
      <c r="Z575" s="48"/>
      <c r="AA575" s="48"/>
      <c r="AB575" s="35"/>
      <c r="AC575" s="35"/>
      <c r="AD575" s="35"/>
      <c r="AE575" s="35"/>
      <c r="AF575" s="35"/>
      <c r="AG575" s="35"/>
      <c r="AH575" s="48"/>
      <c r="AI575" s="48"/>
    </row>
    <row r="576" spans="1:35" x14ac:dyDescent="0.25">
      <c r="A576" s="48">
        <v>41</v>
      </c>
      <c r="B576" s="166" t="s">
        <v>136</v>
      </c>
      <c r="C576" s="166" t="s">
        <v>301</v>
      </c>
      <c r="D576" s="138">
        <f t="shared" si="25"/>
        <v>0</v>
      </c>
      <c r="E576" s="48"/>
      <c r="F576" s="48"/>
      <c r="G576" s="35"/>
      <c r="H576" s="35"/>
      <c r="I576" s="35"/>
      <c r="J576" s="35"/>
      <c r="K576" s="35"/>
      <c r="L576" s="35"/>
      <c r="M576" s="48"/>
      <c r="N576" s="48"/>
      <c r="O576" s="48"/>
      <c r="P576" s="35"/>
      <c r="Q576" s="35"/>
      <c r="R576" s="40"/>
      <c r="S576" s="40"/>
      <c r="T576" s="40"/>
      <c r="U576" s="40"/>
      <c r="V576" s="48"/>
      <c r="W576" s="48"/>
      <c r="X576" s="48"/>
      <c r="Y576" s="48"/>
      <c r="Z576" s="48"/>
      <c r="AA576" s="48"/>
      <c r="AB576" s="35"/>
      <c r="AC576" s="35"/>
      <c r="AD576" s="35"/>
      <c r="AE576" s="35"/>
      <c r="AF576" s="35"/>
      <c r="AG576" s="35"/>
      <c r="AH576" s="48"/>
      <c r="AI576" s="48"/>
    </row>
    <row r="577" spans="1:35" x14ac:dyDescent="0.25">
      <c r="A577" s="48">
        <v>42</v>
      </c>
      <c r="B577" s="166" t="s">
        <v>683</v>
      </c>
      <c r="C577" s="166" t="s">
        <v>682</v>
      </c>
      <c r="D577" s="138">
        <f t="shared" si="25"/>
        <v>0</v>
      </c>
      <c r="E577" s="48"/>
      <c r="F577" s="48"/>
      <c r="G577" s="35"/>
      <c r="H577" s="35"/>
      <c r="I577" s="35"/>
      <c r="J577" s="35"/>
      <c r="K577" s="35"/>
      <c r="L577" s="35"/>
      <c r="M577" s="48"/>
      <c r="N577" s="48"/>
      <c r="O577" s="48"/>
      <c r="P577" s="35"/>
      <c r="Q577" s="35"/>
      <c r="R577" s="40"/>
      <c r="S577" s="40"/>
      <c r="T577" s="40"/>
      <c r="U577" s="40"/>
      <c r="V577" s="48"/>
      <c r="W577" s="48"/>
      <c r="X577" s="48"/>
      <c r="Y577" s="48"/>
      <c r="Z577" s="48"/>
      <c r="AA577" s="48"/>
      <c r="AB577" s="35"/>
      <c r="AC577" s="35"/>
      <c r="AD577" s="35"/>
      <c r="AE577" s="35"/>
      <c r="AF577" s="35"/>
      <c r="AG577" s="35"/>
      <c r="AH577" s="48"/>
      <c r="AI577" s="48"/>
    </row>
    <row r="578" spans="1:35" x14ac:dyDescent="0.25">
      <c r="A578" s="198" t="s">
        <v>142</v>
      </c>
      <c r="B578" s="198"/>
      <c r="C578" s="198"/>
      <c r="D578" s="149">
        <f t="shared" ref="D578:AI578" si="26">+D536+D495+D336+D303+D144+D101+D54+D22+D3</f>
        <v>11845573</v>
      </c>
      <c r="E578" s="149">
        <f t="shared" si="26"/>
        <v>244164</v>
      </c>
      <c r="F578" s="149">
        <f t="shared" si="26"/>
        <v>0</v>
      </c>
      <c r="G578" s="149">
        <f t="shared" si="26"/>
        <v>363625</v>
      </c>
      <c r="H578" s="149">
        <f t="shared" si="26"/>
        <v>299443</v>
      </c>
      <c r="I578" s="149">
        <f t="shared" si="26"/>
        <v>349377</v>
      </c>
      <c r="J578" s="149">
        <f t="shared" si="26"/>
        <v>419040</v>
      </c>
      <c r="K578" s="149">
        <f t="shared" si="26"/>
        <v>438674</v>
      </c>
      <c r="L578" s="149">
        <f t="shared" si="26"/>
        <v>604640</v>
      </c>
      <c r="M578" s="149">
        <f t="shared" si="26"/>
        <v>625670</v>
      </c>
      <c r="N578" s="149">
        <f t="shared" si="26"/>
        <v>490550</v>
      </c>
      <c r="O578" s="149">
        <f t="shared" si="26"/>
        <v>541654</v>
      </c>
      <c r="P578" s="149">
        <f t="shared" si="26"/>
        <v>429331</v>
      </c>
      <c r="Q578" s="149">
        <f t="shared" si="26"/>
        <v>455219</v>
      </c>
      <c r="R578" s="149">
        <f t="shared" si="26"/>
        <v>0</v>
      </c>
      <c r="S578" s="149">
        <f t="shared" si="26"/>
        <v>0</v>
      </c>
      <c r="T578" s="149">
        <f t="shared" si="26"/>
        <v>0</v>
      </c>
      <c r="U578" s="149">
        <f t="shared" si="26"/>
        <v>376160</v>
      </c>
      <c r="V578" s="149">
        <f t="shared" si="26"/>
        <v>300479</v>
      </c>
      <c r="W578" s="149">
        <f t="shared" si="26"/>
        <v>408996</v>
      </c>
      <c r="X578" s="149">
        <f t="shared" si="26"/>
        <v>404894</v>
      </c>
      <c r="Y578" s="149">
        <f t="shared" si="26"/>
        <v>567879</v>
      </c>
      <c r="Z578" s="149">
        <f t="shared" si="26"/>
        <v>451999</v>
      </c>
      <c r="AA578" s="149">
        <f t="shared" si="26"/>
        <v>472507</v>
      </c>
      <c r="AB578" s="149">
        <f t="shared" si="26"/>
        <v>383323</v>
      </c>
      <c r="AC578" s="149">
        <f t="shared" si="26"/>
        <v>469602</v>
      </c>
      <c r="AD578" s="149">
        <f t="shared" si="26"/>
        <v>530819</v>
      </c>
      <c r="AE578" s="149">
        <f t="shared" si="26"/>
        <v>564620</v>
      </c>
      <c r="AF578" s="149">
        <f t="shared" si="26"/>
        <v>512394</v>
      </c>
      <c r="AG578" s="149">
        <f t="shared" si="26"/>
        <v>385119</v>
      </c>
      <c r="AH578" s="149">
        <f t="shared" si="26"/>
        <v>412291</v>
      </c>
      <c r="AI578" s="149">
        <f t="shared" si="26"/>
        <v>343104</v>
      </c>
    </row>
    <row r="588" spans="1:35" ht="17.25" x14ac:dyDescent="0.25">
      <c r="Z588" s="173"/>
    </row>
  </sheetData>
  <autoFilter ref="A2:AI578" xr:uid="{00000000-0009-0000-0000-000009000000}"/>
  <mergeCells count="2">
    <mergeCell ref="A1:AF1"/>
    <mergeCell ref="A578:C578"/>
  </mergeCells>
  <conditionalFormatting sqref="B13">
    <cfRule type="duplicateValues" dxfId="1270" priority="4083"/>
    <cfRule type="duplicateValues" dxfId="1269" priority="4082"/>
    <cfRule type="duplicateValues" dxfId="1268" priority="4084"/>
    <cfRule type="duplicateValues" dxfId="1267" priority="4087"/>
    <cfRule type="duplicateValues" dxfId="1266" priority="4079"/>
    <cfRule type="duplicateValues" dxfId="1265" priority="4077"/>
    <cfRule type="duplicateValues" dxfId="1264" priority="4076"/>
    <cfRule type="duplicateValues" dxfId="1263" priority="4085"/>
    <cfRule type="duplicateValues" dxfId="1262" priority="4088"/>
    <cfRule type="duplicateValues" dxfId="1261" priority="4071"/>
    <cfRule type="duplicateValues" dxfId="1260" priority="4072"/>
    <cfRule type="duplicateValues" dxfId="1259" priority="4073"/>
    <cfRule type="duplicateValues" dxfId="1258" priority="4086"/>
    <cfRule type="duplicateValues" dxfId="1257" priority="4078"/>
    <cfRule type="duplicateValues" dxfId="1256" priority="4081"/>
    <cfRule type="duplicateValues" dxfId="1255" priority="4080"/>
    <cfRule type="duplicateValues" dxfId="1254" priority="4074"/>
    <cfRule type="duplicateValues" dxfId="1253" priority="4075"/>
  </conditionalFormatting>
  <conditionalFormatting sqref="B14">
    <cfRule type="duplicateValues" dxfId="1252" priority="3769"/>
    <cfRule type="duplicateValues" dxfId="1251" priority="3768"/>
    <cfRule type="duplicateValues" dxfId="1250" priority="3767"/>
    <cfRule type="duplicateValues" dxfId="1249" priority="3781"/>
    <cfRule type="duplicateValues" dxfId="1248" priority="3782"/>
    <cfRule type="duplicateValues" dxfId="1247" priority="3783"/>
    <cfRule type="duplicateValues" dxfId="1246" priority="3784"/>
    <cfRule type="duplicateValues" dxfId="1245" priority="3778"/>
    <cfRule type="duplicateValues" dxfId="1244" priority="3770"/>
    <cfRule type="duplicateValues" dxfId="1243" priority="3773"/>
    <cfRule type="duplicateValues" dxfId="1242" priority="3771"/>
    <cfRule type="duplicateValues" dxfId="1241" priority="3772"/>
    <cfRule type="duplicateValues" dxfId="1240" priority="3774"/>
    <cfRule type="duplicateValues" dxfId="1239" priority="3775"/>
    <cfRule type="duplicateValues" dxfId="1238" priority="3776"/>
    <cfRule type="duplicateValues" dxfId="1237" priority="3777"/>
    <cfRule type="duplicateValues" dxfId="1236" priority="3779"/>
    <cfRule type="duplicateValues" dxfId="1235" priority="3780"/>
  </conditionalFormatting>
  <conditionalFormatting sqref="C4">
    <cfRule type="duplicateValues" dxfId="1234" priority="12285"/>
    <cfRule type="duplicateValues" dxfId="1233" priority="6577"/>
    <cfRule type="duplicateValues" dxfId="1232" priority="6576"/>
    <cfRule type="duplicateValues" dxfId="1231" priority="6579"/>
  </conditionalFormatting>
  <conditionalFormatting sqref="C5">
    <cfRule type="duplicateValues" dxfId="1230" priority="661"/>
  </conditionalFormatting>
  <conditionalFormatting sqref="C6">
    <cfRule type="duplicateValues" dxfId="1229" priority="6247"/>
    <cfRule type="duplicateValues" dxfId="1228" priority="6248"/>
    <cfRule type="duplicateValues" dxfId="1227" priority="6243"/>
    <cfRule type="duplicateValues" dxfId="1226" priority="6246"/>
    <cfRule type="duplicateValues" dxfId="1225" priority="6249"/>
    <cfRule type="duplicateValues" dxfId="1224" priority="6244"/>
    <cfRule type="duplicateValues" dxfId="1223" priority="6245"/>
  </conditionalFormatting>
  <conditionalFormatting sqref="C7">
    <cfRule type="duplicateValues" dxfId="1222" priority="125"/>
  </conditionalFormatting>
  <conditionalFormatting sqref="C8:C9">
    <cfRule type="duplicateValues" dxfId="1221" priority="64"/>
    <cfRule type="duplicateValues" dxfId="1220" priority="65"/>
  </conditionalFormatting>
  <conditionalFormatting sqref="C10">
    <cfRule type="duplicateValues" dxfId="1219" priority="5199"/>
    <cfRule type="duplicateValues" dxfId="1218" priority="5198"/>
    <cfRule type="duplicateValues" dxfId="1217" priority="5197"/>
    <cfRule type="duplicateValues" dxfId="1216" priority="5196"/>
    <cfRule type="duplicateValues" dxfId="1215" priority="5195"/>
    <cfRule type="duplicateValues" dxfId="1214" priority="5203"/>
    <cfRule type="duplicateValues" dxfId="1213" priority="5202"/>
    <cfRule type="duplicateValues" dxfId="1212" priority="5194"/>
    <cfRule type="duplicateValues" dxfId="1211" priority="5200"/>
    <cfRule type="duplicateValues" dxfId="1210" priority="5201"/>
    <cfRule type="duplicateValues" dxfId="1209" priority="5206"/>
    <cfRule type="duplicateValues" dxfId="1208" priority="5205"/>
    <cfRule type="duplicateValues" dxfId="1207" priority="5204"/>
  </conditionalFormatting>
  <conditionalFormatting sqref="C11">
    <cfRule type="duplicateValues" dxfId="1206" priority="955"/>
    <cfRule type="duplicateValues" dxfId="1205" priority="956"/>
    <cfRule type="duplicateValues" dxfId="1204" priority="957"/>
  </conditionalFormatting>
  <conditionalFormatting sqref="C12">
    <cfRule type="duplicateValues" dxfId="1203" priority="4757"/>
    <cfRule type="duplicateValues" dxfId="1202" priority="4755"/>
    <cfRule type="duplicateValues" dxfId="1201" priority="4756"/>
    <cfRule type="duplicateValues" dxfId="1200" priority="4762"/>
    <cfRule type="duplicateValues" dxfId="1199" priority="4763"/>
    <cfRule type="duplicateValues" dxfId="1198" priority="4764"/>
    <cfRule type="duplicateValues" dxfId="1197" priority="4761"/>
    <cfRule type="duplicateValues" dxfId="1196" priority="4760"/>
    <cfRule type="duplicateValues" dxfId="1195" priority="4758"/>
    <cfRule type="duplicateValues" dxfId="1194" priority="4759"/>
    <cfRule type="duplicateValues" dxfId="1193" priority="4754"/>
    <cfRule type="duplicateValues" dxfId="1192" priority="4753"/>
    <cfRule type="duplicateValues" dxfId="1191" priority="4752"/>
    <cfRule type="duplicateValues" dxfId="1190" priority="4751"/>
  </conditionalFormatting>
  <conditionalFormatting sqref="C13">
    <cfRule type="duplicateValues" dxfId="1189" priority="4089"/>
    <cfRule type="duplicateValues" dxfId="1188" priority="4090"/>
    <cfRule type="duplicateValues" dxfId="1187" priority="4091"/>
    <cfRule type="duplicateValues" dxfId="1186" priority="4092"/>
    <cfRule type="duplicateValues" dxfId="1185" priority="4093"/>
    <cfRule type="duplicateValues" dxfId="1184" priority="4094"/>
    <cfRule type="duplicateValues" dxfId="1183" priority="4095"/>
    <cfRule type="duplicateValues" dxfId="1182" priority="4096"/>
    <cfRule type="duplicateValues" dxfId="1181" priority="4097"/>
    <cfRule type="duplicateValues" dxfId="1180" priority="4098"/>
    <cfRule type="duplicateValues" dxfId="1179" priority="4099"/>
    <cfRule type="duplicateValues" dxfId="1178" priority="4100"/>
    <cfRule type="duplicateValues" dxfId="1177" priority="4101"/>
    <cfRule type="duplicateValues" dxfId="1176" priority="4119"/>
    <cfRule type="duplicateValues" dxfId="1175" priority="4118"/>
    <cfRule type="duplicateValues" dxfId="1174" priority="4117"/>
    <cfRule type="duplicateValues" dxfId="1173" priority="4116"/>
    <cfRule type="duplicateValues" dxfId="1172" priority="4115"/>
    <cfRule type="duplicateValues" dxfId="1171" priority="4114"/>
    <cfRule type="duplicateValues" dxfId="1170" priority="4113"/>
    <cfRule type="duplicateValues" dxfId="1169" priority="4112"/>
    <cfRule type="duplicateValues" dxfId="1168" priority="4111"/>
    <cfRule type="duplicateValues" dxfId="1167" priority="4110"/>
    <cfRule type="duplicateValues" dxfId="1166" priority="4109"/>
    <cfRule type="duplicateValues" dxfId="1165" priority="4108"/>
    <cfRule type="duplicateValues" dxfId="1164" priority="4102"/>
    <cfRule type="duplicateValues" dxfId="1163" priority="4107"/>
    <cfRule type="duplicateValues" dxfId="1162" priority="4106"/>
    <cfRule type="duplicateValues" dxfId="1161" priority="4105"/>
    <cfRule type="duplicateValues" dxfId="1160" priority="4104"/>
    <cfRule type="duplicateValues" dxfId="1159" priority="4103"/>
  </conditionalFormatting>
  <conditionalFormatting sqref="C14">
    <cfRule type="duplicateValues" dxfId="1158" priority="3795"/>
    <cfRule type="duplicateValues" dxfId="1157" priority="3800"/>
    <cfRule type="duplicateValues" dxfId="1156" priority="3801"/>
    <cfRule type="duplicateValues" dxfId="1155" priority="3805"/>
    <cfRule type="duplicateValues" dxfId="1154" priority="3813"/>
    <cfRule type="duplicateValues" dxfId="1153" priority="3812"/>
    <cfRule type="duplicateValues" dxfId="1152" priority="3811"/>
    <cfRule type="duplicateValues" dxfId="1151" priority="3810"/>
    <cfRule type="duplicateValues" dxfId="1150" priority="3809"/>
    <cfRule type="duplicateValues" dxfId="1149" priority="3802"/>
    <cfRule type="duplicateValues" dxfId="1148" priority="3804"/>
    <cfRule type="duplicateValues" dxfId="1147" priority="3808"/>
    <cfRule type="duplicateValues" dxfId="1146" priority="3807"/>
    <cfRule type="duplicateValues" dxfId="1145" priority="3806"/>
    <cfRule type="duplicateValues" dxfId="1144" priority="3815"/>
    <cfRule type="duplicateValues" dxfId="1143" priority="3814"/>
    <cfRule type="duplicateValues" dxfId="1142" priority="3803"/>
    <cfRule type="duplicateValues" dxfId="1141" priority="3785"/>
    <cfRule type="duplicateValues" dxfId="1140" priority="3797"/>
    <cfRule type="duplicateValues" dxfId="1139" priority="3799"/>
    <cfRule type="duplicateValues" dxfId="1138" priority="3789"/>
    <cfRule type="duplicateValues" dxfId="1137" priority="3790"/>
    <cfRule type="duplicateValues" dxfId="1136" priority="3791"/>
    <cfRule type="duplicateValues" dxfId="1135" priority="3792"/>
    <cfRule type="duplicateValues" dxfId="1134" priority="3793"/>
    <cfRule type="duplicateValues" dxfId="1133" priority="3798"/>
    <cfRule type="duplicateValues" dxfId="1132" priority="3788"/>
    <cfRule type="duplicateValues" dxfId="1131" priority="3787"/>
    <cfRule type="duplicateValues" dxfId="1130" priority="3786"/>
    <cfRule type="duplicateValues" dxfId="1129" priority="3794"/>
    <cfRule type="duplicateValues" dxfId="1128" priority="3796"/>
  </conditionalFormatting>
  <conditionalFormatting sqref="C15">
    <cfRule type="duplicateValues" dxfId="1127" priority="87"/>
  </conditionalFormatting>
  <conditionalFormatting sqref="C16">
    <cfRule type="duplicateValues" dxfId="1126" priority="1143"/>
    <cfRule type="duplicateValues" dxfId="1125" priority="1142"/>
  </conditionalFormatting>
  <conditionalFormatting sqref="C17">
    <cfRule type="duplicateValues" dxfId="1124" priority="126"/>
  </conditionalFormatting>
  <conditionalFormatting sqref="C18">
    <cfRule type="duplicateValues" dxfId="1123" priority="836"/>
  </conditionalFormatting>
  <conditionalFormatting sqref="C19">
    <cfRule type="duplicateValues" dxfId="1122" priority="123"/>
  </conditionalFormatting>
  <conditionalFormatting sqref="C20">
    <cfRule type="duplicateValues" dxfId="1121" priority="1763"/>
  </conditionalFormatting>
  <conditionalFormatting sqref="C21">
    <cfRule type="duplicateValues" dxfId="1120" priority="1764"/>
  </conditionalFormatting>
  <conditionalFormatting sqref="C23">
    <cfRule type="duplicateValues" dxfId="1119" priority="4593"/>
    <cfRule type="duplicateValues" dxfId="1118" priority="4594"/>
    <cfRule type="duplicateValues" dxfId="1117" priority="4582"/>
    <cfRule type="duplicateValues" dxfId="1116" priority="4583"/>
    <cfRule type="duplicateValues" dxfId="1115" priority="4584"/>
    <cfRule type="duplicateValues" dxfId="1114" priority="4585"/>
    <cfRule type="duplicateValues" dxfId="1113" priority="4592"/>
    <cfRule type="duplicateValues" dxfId="1112" priority="4581"/>
    <cfRule type="duplicateValues" dxfId="1111" priority="4586"/>
    <cfRule type="duplicateValues" dxfId="1110" priority="4587"/>
    <cfRule type="duplicateValues" dxfId="1109" priority="4588"/>
    <cfRule type="duplicateValues" dxfId="1108" priority="4589"/>
    <cfRule type="duplicateValues" dxfId="1107" priority="4590"/>
    <cfRule type="duplicateValues" dxfId="1106" priority="4591"/>
  </conditionalFormatting>
  <conditionalFormatting sqref="C25">
    <cfRule type="duplicateValues" dxfId="1105" priority="514"/>
  </conditionalFormatting>
  <conditionalFormatting sqref="C26">
    <cfRule type="duplicateValues" dxfId="1104" priority="91"/>
  </conditionalFormatting>
  <conditionalFormatting sqref="C27">
    <cfRule type="duplicateValues" dxfId="1103" priority="3824"/>
    <cfRule type="duplicateValues" dxfId="1102" priority="3823"/>
    <cfRule type="duplicateValues" dxfId="1101" priority="3822"/>
    <cfRule type="duplicateValues" dxfId="1100" priority="3821"/>
    <cfRule type="duplicateValues" dxfId="1099" priority="3820"/>
    <cfRule type="duplicateValues" dxfId="1098" priority="3829"/>
    <cfRule type="duplicateValues" dxfId="1097" priority="3818"/>
    <cfRule type="duplicateValues" dxfId="1096" priority="3817"/>
    <cfRule type="duplicateValues" dxfId="1095" priority="3816"/>
    <cfRule type="duplicateValues" dxfId="1094" priority="3827"/>
    <cfRule type="duplicateValues" dxfId="1093" priority="3828"/>
    <cfRule type="duplicateValues" dxfId="1092" priority="3819"/>
    <cfRule type="duplicateValues" dxfId="1091" priority="3830"/>
    <cfRule type="duplicateValues" dxfId="1090" priority="3825"/>
    <cfRule type="duplicateValues" dxfId="1089" priority="3826"/>
  </conditionalFormatting>
  <conditionalFormatting sqref="C28:C29">
    <cfRule type="duplicateValues" dxfId="1088" priority="124"/>
  </conditionalFormatting>
  <conditionalFormatting sqref="C31">
    <cfRule type="duplicateValues" dxfId="1087" priority="355"/>
    <cfRule type="duplicateValues" dxfId="1086" priority="354"/>
    <cfRule type="duplicateValues" dxfId="1085" priority="356"/>
  </conditionalFormatting>
  <conditionalFormatting sqref="C32">
    <cfRule type="duplicateValues" dxfId="1084" priority="130"/>
  </conditionalFormatting>
  <conditionalFormatting sqref="C33:C34">
    <cfRule type="duplicateValues" dxfId="1083" priority="1673"/>
    <cfRule type="duplicateValues" dxfId="1082" priority="1671"/>
    <cfRule type="duplicateValues" dxfId="1081" priority="1670"/>
    <cfRule type="duplicateValues" dxfId="1080" priority="1672"/>
    <cfRule type="duplicateValues" dxfId="1079" priority="1677"/>
    <cfRule type="duplicateValues" dxfId="1078" priority="1676"/>
    <cfRule type="duplicateValues" dxfId="1077" priority="1675"/>
    <cfRule type="duplicateValues" dxfId="1076" priority="1674"/>
  </conditionalFormatting>
  <conditionalFormatting sqref="C35">
    <cfRule type="duplicateValues" dxfId="1075" priority="1848"/>
    <cfRule type="duplicateValues" dxfId="1074" priority="1847"/>
    <cfRule type="duplicateValues" dxfId="1073" priority="1850"/>
    <cfRule type="duplicateValues" dxfId="1072" priority="1849"/>
  </conditionalFormatting>
  <conditionalFormatting sqref="C36">
    <cfRule type="duplicateValues" dxfId="1071" priority="6242"/>
  </conditionalFormatting>
  <conditionalFormatting sqref="C37">
    <cfRule type="duplicateValues" dxfId="1070" priority="152"/>
    <cfRule type="duplicateValues" dxfId="1069" priority="153"/>
  </conditionalFormatting>
  <conditionalFormatting sqref="C38">
    <cfRule type="duplicateValues" dxfId="1068" priority="6081"/>
    <cfRule type="duplicateValues" dxfId="1067" priority="6083"/>
    <cfRule type="duplicateValues" dxfId="1066" priority="6082"/>
    <cfRule type="duplicateValues" dxfId="1065" priority="6080"/>
    <cfRule type="duplicateValues" dxfId="1064" priority="6084"/>
  </conditionalFormatting>
  <conditionalFormatting sqref="C39">
    <cfRule type="duplicateValues" dxfId="1063" priority="160"/>
    <cfRule type="duplicateValues" dxfId="1062" priority="161"/>
    <cfRule type="duplicateValues" dxfId="1061" priority="158"/>
    <cfRule type="duplicateValues" dxfId="1060" priority="159"/>
  </conditionalFormatting>
  <conditionalFormatting sqref="C40">
    <cfRule type="duplicateValues" dxfId="1059" priority="7"/>
    <cfRule type="duplicateValues" dxfId="1058" priority="6"/>
    <cfRule type="duplicateValues" dxfId="1057" priority="4"/>
    <cfRule type="duplicateValues" dxfId="1056" priority="3"/>
    <cfRule type="duplicateValues" dxfId="1055" priority="5"/>
  </conditionalFormatting>
  <conditionalFormatting sqref="C41">
    <cfRule type="duplicateValues" dxfId="1054" priority="151"/>
    <cfRule type="duplicateValues" dxfId="1053" priority="150"/>
  </conditionalFormatting>
  <conditionalFormatting sqref="C42">
    <cfRule type="duplicateValues" dxfId="1052" priority="4810"/>
    <cfRule type="duplicateValues" dxfId="1051" priority="4820"/>
    <cfRule type="duplicateValues" dxfId="1050" priority="4814"/>
    <cfRule type="duplicateValues" dxfId="1049" priority="4812"/>
    <cfRule type="duplicateValues" dxfId="1048" priority="4819"/>
    <cfRule type="duplicateValues" dxfId="1047" priority="4815"/>
    <cfRule type="duplicateValues" dxfId="1046" priority="4813"/>
    <cfRule type="duplicateValues" dxfId="1045" priority="4811"/>
    <cfRule type="duplicateValues" dxfId="1044" priority="4823"/>
    <cfRule type="duplicateValues" dxfId="1043" priority="4818"/>
    <cfRule type="duplicateValues" dxfId="1042" priority="4817"/>
    <cfRule type="duplicateValues" dxfId="1041" priority="4821"/>
    <cfRule type="duplicateValues" dxfId="1040" priority="4816"/>
    <cfRule type="duplicateValues" dxfId="1039" priority="4822"/>
  </conditionalFormatting>
  <conditionalFormatting sqref="C43">
    <cfRule type="duplicateValues" dxfId="1038" priority="4769"/>
    <cfRule type="duplicateValues" dxfId="1037" priority="4768"/>
    <cfRule type="duplicateValues" dxfId="1036" priority="4767"/>
    <cfRule type="duplicateValues" dxfId="1035" priority="4766"/>
    <cfRule type="duplicateValues" dxfId="1034" priority="4765"/>
    <cfRule type="duplicateValues" dxfId="1033" priority="4778"/>
    <cfRule type="duplicateValues" dxfId="1032" priority="4777"/>
    <cfRule type="duplicateValues" dxfId="1031" priority="4776"/>
    <cfRule type="duplicateValues" dxfId="1030" priority="4775"/>
    <cfRule type="duplicateValues" dxfId="1029" priority="4774"/>
    <cfRule type="duplicateValues" dxfId="1028" priority="4773"/>
    <cfRule type="duplicateValues" dxfId="1027" priority="4772"/>
    <cfRule type="duplicateValues" dxfId="1026" priority="4771"/>
    <cfRule type="duplicateValues" dxfId="1025" priority="4770"/>
  </conditionalFormatting>
  <conditionalFormatting sqref="C44">
    <cfRule type="duplicateValues" dxfId="1024" priority="9"/>
  </conditionalFormatting>
  <conditionalFormatting sqref="C45">
    <cfRule type="duplicateValues" dxfId="1023" priority="3937"/>
    <cfRule type="duplicateValues" dxfId="1022" priority="3936"/>
    <cfRule type="duplicateValues" dxfId="1021" priority="3935"/>
    <cfRule type="duplicateValues" dxfId="1020" priority="3934"/>
  </conditionalFormatting>
  <conditionalFormatting sqref="C46">
    <cfRule type="duplicateValues" dxfId="1019" priority="4621"/>
    <cfRule type="duplicateValues" dxfId="1018" priority="4619"/>
    <cfRule type="duplicateValues" dxfId="1017" priority="4620"/>
  </conditionalFormatting>
  <conditionalFormatting sqref="C47">
    <cfRule type="duplicateValues" dxfId="1016" priority="5741"/>
    <cfRule type="duplicateValues" dxfId="1015" priority="5742"/>
    <cfRule type="duplicateValues" dxfId="1014" priority="5736"/>
    <cfRule type="duplicateValues" dxfId="1013" priority="5737"/>
    <cfRule type="duplicateValues" dxfId="1012" priority="5738"/>
    <cfRule type="duplicateValues" dxfId="1011" priority="5739"/>
    <cfRule type="duplicateValues" dxfId="1010" priority="5740"/>
  </conditionalFormatting>
  <conditionalFormatting sqref="C48">
    <cfRule type="duplicateValues" dxfId="1009" priority="118"/>
    <cfRule type="duplicateValues" dxfId="1008" priority="117"/>
    <cfRule type="duplicateValues" dxfId="1007" priority="116"/>
  </conditionalFormatting>
  <conditionalFormatting sqref="C49">
    <cfRule type="duplicateValues" dxfId="1006" priority="114"/>
    <cfRule type="duplicateValues" dxfId="1005" priority="113"/>
    <cfRule type="duplicateValues" dxfId="1004" priority="115"/>
  </conditionalFormatting>
  <conditionalFormatting sqref="C50">
    <cfRule type="duplicateValues" dxfId="1003" priority="4236"/>
    <cfRule type="duplicateValues" dxfId="1002" priority="4239"/>
    <cfRule type="duplicateValues" dxfId="1001" priority="4238"/>
    <cfRule type="duplicateValues" dxfId="1000" priority="4237"/>
  </conditionalFormatting>
  <conditionalFormatting sqref="C51">
    <cfRule type="duplicateValues" dxfId="999" priority="5621"/>
    <cfRule type="duplicateValues" dxfId="998" priority="5622"/>
    <cfRule type="duplicateValues" dxfId="997" priority="5623"/>
    <cfRule type="duplicateValues" dxfId="996" priority="5625"/>
    <cfRule type="duplicateValues" dxfId="995" priority="5626"/>
    <cfRule type="duplicateValues" dxfId="994" priority="5627"/>
    <cfRule type="duplicateValues" dxfId="993" priority="5624"/>
    <cfRule type="duplicateValues" dxfId="992" priority="5628"/>
  </conditionalFormatting>
  <conditionalFormatting sqref="C52">
    <cfRule type="duplicateValues" dxfId="991" priority="4715"/>
    <cfRule type="duplicateValues" dxfId="990" priority="4716"/>
    <cfRule type="duplicateValues" dxfId="989" priority="4714"/>
  </conditionalFormatting>
  <conditionalFormatting sqref="C53">
    <cfRule type="duplicateValues" dxfId="988" priority="88"/>
  </conditionalFormatting>
  <conditionalFormatting sqref="C55:C56">
    <cfRule type="duplicateValues" dxfId="987" priority="134"/>
    <cfRule type="duplicateValues" dxfId="986" priority="135"/>
  </conditionalFormatting>
  <conditionalFormatting sqref="C57">
    <cfRule type="duplicateValues" dxfId="985" priority="501"/>
  </conditionalFormatting>
  <conditionalFormatting sqref="C58">
    <cfRule type="duplicateValues" dxfId="984" priority="6569"/>
  </conditionalFormatting>
  <conditionalFormatting sqref="C59">
    <cfRule type="duplicateValues" dxfId="983" priority="242"/>
  </conditionalFormatting>
  <conditionalFormatting sqref="C60">
    <cfRule type="duplicateValues" dxfId="982" priority="364"/>
  </conditionalFormatting>
  <conditionalFormatting sqref="C61">
    <cfRule type="duplicateValues" dxfId="981" priority="2264"/>
  </conditionalFormatting>
  <conditionalFormatting sqref="C62">
    <cfRule type="duplicateValues" dxfId="980" priority="106"/>
  </conditionalFormatting>
  <conditionalFormatting sqref="C63">
    <cfRule type="duplicateValues" dxfId="979" priority="3647"/>
    <cfRule type="duplicateValues" dxfId="978" priority="3648"/>
  </conditionalFormatting>
  <conditionalFormatting sqref="C64 C58">
    <cfRule type="duplicateValues" dxfId="977" priority="6570"/>
  </conditionalFormatting>
  <conditionalFormatting sqref="C65:C66">
    <cfRule type="duplicateValues" dxfId="976" priority="1617"/>
  </conditionalFormatting>
  <conditionalFormatting sqref="C67">
    <cfRule type="duplicateValues" dxfId="975" priority="2525"/>
  </conditionalFormatting>
  <conditionalFormatting sqref="C68">
    <cfRule type="duplicateValues" dxfId="974" priority="189"/>
    <cfRule type="duplicateValues" dxfId="973" priority="193"/>
    <cfRule type="duplicateValues" dxfId="972" priority="194"/>
    <cfRule type="duplicateValues" dxfId="971" priority="195"/>
    <cfRule type="duplicateValues" dxfId="970" priority="175"/>
    <cfRule type="duplicateValues" dxfId="969" priority="181"/>
    <cfRule type="duplicateValues" dxfId="968" priority="192"/>
    <cfRule type="duplicateValues" dxfId="967" priority="191"/>
    <cfRule type="duplicateValues" dxfId="966" priority="190"/>
    <cfRule type="duplicateValues" dxfId="965" priority="200"/>
    <cfRule type="duplicateValues" dxfId="964" priority="196"/>
    <cfRule type="duplicateValues" dxfId="963" priority="180"/>
    <cfRule type="duplicateValues" dxfId="962" priority="197"/>
    <cfRule type="duplicateValues" dxfId="961" priority="198"/>
    <cfRule type="duplicateValues" dxfId="960" priority="199"/>
    <cfRule type="duplicateValues" dxfId="959" priority="179"/>
    <cfRule type="duplicateValues" dxfId="958" priority="178"/>
    <cfRule type="duplicateValues" dxfId="957" priority="177"/>
    <cfRule type="duplicateValues" dxfId="956" priority="188"/>
    <cfRule type="duplicateValues" dxfId="955" priority="187"/>
    <cfRule type="duplicateValues" dxfId="954" priority="184"/>
    <cfRule type="duplicateValues" dxfId="953" priority="186"/>
    <cfRule type="duplicateValues" dxfId="952" priority="185"/>
    <cfRule type="duplicateValues" dxfId="951" priority="182"/>
    <cfRule type="duplicateValues" dxfId="950" priority="176"/>
    <cfRule type="duplicateValues" dxfId="949" priority="174"/>
    <cfRule type="duplicateValues" dxfId="948" priority="173"/>
    <cfRule type="duplicateValues" dxfId="947" priority="172"/>
    <cfRule type="duplicateValues" dxfId="946" priority="171"/>
    <cfRule type="duplicateValues" dxfId="945" priority="183"/>
  </conditionalFormatting>
  <conditionalFormatting sqref="C71">
    <cfRule type="duplicateValues" dxfId="944" priority="2038"/>
  </conditionalFormatting>
  <conditionalFormatting sqref="C72">
    <cfRule type="duplicateValues" dxfId="943" priority="2037"/>
  </conditionalFormatting>
  <conditionalFormatting sqref="C73">
    <cfRule type="duplicateValues" dxfId="942" priority="1947"/>
    <cfRule type="duplicateValues" dxfId="941" priority="1948"/>
    <cfRule type="duplicateValues" dxfId="940" priority="1949"/>
    <cfRule type="duplicateValues" dxfId="939" priority="1946"/>
  </conditionalFormatting>
  <conditionalFormatting sqref="C74">
    <cfRule type="duplicateValues" dxfId="938" priority="963"/>
  </conditionalFormatting>
  <conditionalFormatting sqref="C75">
    <cfRule type="duplicateValues" dxfId="937" priority="5816"/>
    <cfRule type="duplicateValues" dxfId="936" priority="5815"/>
    <cfRule type="duplicateValues" dxfId="935" priority="5817"/>
    <cfRule type="duplicateValues" dxfId="934" priority="5818"/>
  </conditionalFormatting>
  <conditionalFormatting sqref="C76">
    <cfRule type="duplicateValues" dxfId="933" priority="958"/>
  </conditionalFormatting>
  <conditionalFormatting sqref="C77">
    <cfRule type="duplicateValues" dxfId="932" priority="4212"/>
    <cfRule type="duplicateValues" dxfId="931" priority="4211"/>
    <cfRule type="duplicateValues" dxfId="930" priority="4214"/>
    <cfRule type="duplicateValues" dxfId="929" priority="4213"/>
  </conditionalFormatting>
  <conditionalFormatting sqref="C79">
    <cfRule type="duplicateValues" dxfId="928" priority="3869"/>
    <cfRule type="duplicateValues" dxfId="927" priority="3866"/>
    <cfRule type="duplicateValues" dxfId="926" priority="3867"/>
    <cfRule type="duplicateValues" dxfId="925" priority="3868"/>
  </conditionalFormatting>
  <conditionalFormatting sqref="C80">
    <cfRule type="duplicateValues" dxfId="924" priority="2116"/>
  </conditionalFormatting>
  <conditionalFormatting sqref="C81">
    <cfRule type="duplicateValues" dxfId="923" priority="5793"/>
    <cfRule type="duplicateValues" dxfId="922" priority="5794"/>
    <cfRule type="duplicateValues" dxfId="921" priority="5795"/>
    <cfRule type="duplicateValues" dxfId="920" priority="5796"/>
    <cfRule type="duplicateValues" dxfId="919" priority="5799"/>
    <cfRule type="duplicateValues" dxfId="918" priority="5798"/>
    <cfRule type="duplicateValues" dxfId="917" priority="5797"/>
  </conditionalFormatting>
  <conditionalFormatting sqref="C82">
    <cfRule type="duplicateValues" dxfId="916" priority="2199"/>
    <cfRule type="duplicateValues" dxfId="915" priority="2200"/>
    <cfRule type="duplicateValues" dxfId="914" priority="2201"/>
  </conditionalFormatting>
  <conditionalFormatting sqref="C83">
    <cfRule type="duplicateValues" dxfId="913" priority="2197"/>
    <cfRule type="duplicateValues" dxfId="912" priority="2196"/>
    <cfRule type="duplicateValues" dxfId="911" priority="2198"/>
  </conditionalFormatting>
  <conditionalFormatting sqref="C84">
    <cfRule type="duplicateValues" dxfId="910" priority="5858"/>
    <cfRule type="duplicateValues" dxfId="909" priority="5852"/>
    <cfRule type="duplicateValues" dxfId="908" priority="5853"/>
    <cfRule type="duplicateValues" dxfId="907" priority="5854"/>
    <cfRule type="duplicateValues" dxfId="906" priority="5855"/>
    <cfRule type="duplicateValues" dxfId="905" priority="5856"/>
    <cfRule type="duplicateValues" dxfId="904" priority="5857"/>
  </conditionalFormatting>
  <conditionalFormatting sqref="C85">
    <cfRule type="duplicateValues" dxfId="903" priority="3126"/>
    <cfRule type="duplicateValues" dxfId="902" priority="3125"/>
    <cfRule type="duplicateValues" dxfId="901" priority="3124"/>
    <cfRule type="duplicateValues" dxfId="900" priority="3123"/>
    <cfRule type="duplicateValues" dxfId="899" priority="3121"/>
    <cfRule type="duplicateValues" dxfId="898" priority="3120"/>
    <cfRule type="duplicateValues" dxfId="897" priority="3119"/>
    <cfRule type="duplicateValues" dxfId="896" priority="3122"/>
  </conditionalFormatting>
  <conditionalFormatting sqref="C90">
    <cfRule type="duplicateValues" dxfId="895" priority="2381"/>
    <cfRule type="duplicateValues" dxfId="894" priority="2380"/>
    <cfRule type="duplicateValues" dxfId="893" priority="2379"/>
    <cfRule type="duplicateValues" dxfId="892" priority="2378"/>
    <cfRule type="duplicateValues" dxfId="891" priority="2377"/>
    <cfRule type="duplicateValues" dxfId="890" priority="2376"/>
    <cfRule type="duplicateValues" dxfId="889" priority="2375"/>
  </conditionalFormatting>
  <conditionalFormatting sqref="C91">
    <cfRule type="duplicateValues" dxfId="888" priority="5745"/>
    <cfRule type="duplicateValues" dxfId="887" priority="5746"/>
    <cfRule type="duplicateValues" dxfId="886" priority="5750"/>
    <cfRule type="duplicateValues" dxfId="885" priority="5749"/>
    <cfRule type="duplicateValues" dxfId="884" priority="5748"/>
    <cfRule type="duplicateValues" dxfId="883" priority="5747"/>
    <cfRule type="duplicateValues" dxfId="882" priority="5744"/>
  </conditionalFormatting>
  <conditionalFormatting sqref="C92">
    <cfRule type="duplicateValues" dxfId="881" priority="5900"/>
    <cfRule type="duplicateValues" dxfId="880" priority="5903"/>
    <cfRule type="duplicateValues" dxfId="879" priority="5902"/>
    <cfRule type="duplicateValues" dxfId="878" priority="5901"/>
    <cfRule type="duplicateValues" dxfId="877" priority="5898"/>
    <cfRule type="duplicateValues" dxfId="876" priority="5899"/>
    <cfRule type="duplicateValues" dxfId="875" priority="5897"/>
  </conditionalFormatting>
  <conditionalFormatting sqref="C96:C98">
    <cfRule type="duplicateValues" dxfId="874" priority="5394"/>
    <cfRule type="duplicateValues" dxfId="873" priority="5395"/>
    <cfRule type="duplicateValues" dxfId="872" priority="5396"/>
    <cfRule type="duplicateValues" dxfId="871" priority="5387"/>
    <cfRule type="duplicateValues" dxfId="870" priority="5398"/>
    <cfRule type="duplicateValues" dxfId="869" priority="5393"/>
    <cfRule type="duplicateValues" dxfId="868" priority="5397"/>
    <cfRule type="duplicateValues" dxfId="867" priority="5388"/>
    <cfRule type="duplicateValues" dxfId="866" priority="5389"/>
    <cfRule type="duplicateValues" dxfId="865" priority="5390"/>
    <cfRule type="duplicateValues" dxfId="864" priority="5391"/>
    <cfRule type="duplicateValues" dxfId="863" priority="5392"/>
  </conditionalFormatting>
  <conditionalFormatting sqref="C99:C100 C64 C58 C93:C95 C86:C89 C78">
    <cfRule type="duplicateValues" dxfId="862" priority="6571"/>
  </conditionalFormatting>
  <conditionalFormatting sqref="C102 C138 C126 C130 C128">
    <cfRule type="duplicateValues" dxfId="861" priority="6567"/>
  </conditionalFormatting>
  <conditionalFormatting sqref="C102">
    <cfRule type="duplicateValues" dxfId="860" priority="6564"/>
    <cfRule type="duplicateValues" dxfId="859" priority="6565"/>
    <cfRule type="duplicateValues" dxfId="858" priority="6566"/>
  </conditionalFormatting>
  <conditionalFormatting sqref="C103">
    <cfRule type="duplicateValues" dxfId="857" priority="965"/>
  </conditionalFormatting>
  <conditionalFormatting sqref="C104">
    <cfRule type="duplicateValues" dxfId="856" priority="122"/>
  </conditionalFormatting>
  <conditionalFormatting sqref="C105">
    <cfRule type="duplicateValues" dxfId="855" priority="129"/>
    <cfRule type="duplicateValues" dxfId="854" priority="127"/>
    <cfRule type="duplicateValues" dxfId="853" priority="128"/>
  </conditionalFormatting>
  <conditionalFormatting sqref="C106">
    <cfRule type="duplicateValues" dxfId="852" priority="954"/>
    <cfRule type="duplicateValues" dxfId="851" priority="953"/>
    <cfRule type="duplicateValues" dxfId="850" priority="952"/>
  </conditionalFormatting>
  <conditionalFormatting sqref="C107">
    <cfRule type="duplicateValues" dxfId="849" priority="949"/>
    <cfRule type="duplicateValues" dxfId="848" priority="950"/>
    <cfRule type="duplicateValues" dxfId="847" priority="951"/>
  </conditionalFormatting>
  <conditionalFormatting sqref="C108">
    <cfRule type="duplicateValues" dxfId="846" priority="3594"/>
    <cfRule type="duplicateValues" dxfId="845" priority="3586"/>
    <cfRule type="duplicateValues" dxfId="844" priority="3600"/>
    <cfRule type="duplicateValues" dxfId="843" priority="3599"/>
    <cfRule type="duplicateValues" dxfId="842" priority="3598"/>
    <cfRule type="duplicateValues" dxfId="841" priority="3597"/>
    <cfRule type="duplicateValues" dxfId="840" priority="3596"/>
    <cfRule type="duplicateValues" dxfId="839" priority="3595"/>
    <cfRule type="duplicateValues" dxfId="838" priority="3585"/>
    <cfRule type="duplicateValues" dxfId="837" priority="3593"/>
    <cfRule type="duplicateValues" dxfId="836" priority="3592"/>
    <cfRule type="duplicateValues" dxfId="835" priority="3591"/>
    <cfRule type="duplicateValues" dxfId="834" priority="3587"/>
    <cfRule type="duplicateValues" dxfId="833" priority="3589"/>
    <cfRule type="duplicateValues" dxfId="832" priority="3590"/>
    <cfRule type="duplicateValues" dxfId="831" priority="3588"/>
  </conditionalFormatting>
  <conditionalFormatting sqref="C109">
    <cfRule type="duplicateValues" dxfId="830" priority="1705"/>
    <cfRule type="duplicateValues" dxfId="829" priority="1704"/>
    <cfRule type="duplicateValues" dxfId="828" priority="1709"/>
    <cfRule type="duplicateValues" dxfId="827" priority="1702"/>
    <cfRule type="duplicateValues" dxfId="826" priority="1703"/>
    <cfRule type="duplicateValues" dxfId="825" priority="1708"/>
    <cfRule type="duplicateValues" dxfId="824" priority="1707"/>
    <cfRule type="duplicateValues" dxfId="823" priority="1706"/>
  </conditionalFormatting>
  <conditionalFormatting sqref="C110 C113:C114">
    <cfRule type="duplicateValues" dxfId="822" priority="1100"/>
    <cfRule type="duplicateValues" dxfId="821" priority="1106"/>
    <cfRule type="duplicateValues" dxfId="820" priority="1103"/>
    <cfRule type="duplicateValues" dxfId="819" priority="1104"/>
    <cfRule type="duplicateValues" dxfId="818" priority="1105"/>
    <cfRule type="duplicateValues" dxfId="817" priority="1101"/>
  </conditionalFormatting>
  <conditionalFormatting sqref="C110">
    <cfRule type="duplicateValues" dxfId="816" priority="1102"/>
    <cfRule type="duplicateValues" dxfId="815" priority="1098"/>
    <cfRule type="duplicateValues" dxfId="814" priority="1099"/>
  </conditionalFormatting>
  <conditionalFormatting sqref="C111">
    <cfRule type="duplicateValues" dxfId="813" priority="86"/>
  </conditionalFormatting>
  <conditionalFormatting sqref="C112">
    <cfRule type="duplicateValues" dxfId="812" priority="52"/>
    <cfRule type="duplicateValues" dxfId="811" priority="51"/>
  </conditionalFormatting>
  <conditionalFormatting sqref="C115">
    <cfRule type="duplicateValues" dxfId="810" priority="2388"/>
    <cfRule type="duplicateValues" dxfId="809" priority="2387"/>
    <cfRule type="duplicateValues" dxfId="808" priority="2386"/>
    <cfRule type="duplicateValues" dxfId="807" priority="2385"/>
    <cfRule type="duplicateValues" dxfId="806" priority="2384"/>
    <cfRule type="duplicateValues" dxfId="805" priority="2383"/>
    <cfRule type="duplicateValues" dxfId="804" priority="2382"/>
  </conditionalFormatting>
  <conditionalFormatting sqref="C117">
    <cfRule type="duplicateValues" dxfId="803" priority="2472"/>
    <cfRule type="duplicateValues" dxfId="802" priority="2471"/>
  </conditionalFormatting>
  <conditionalFormatting sqref="C118">
    <cfRule type="duplicateValues" dxfId="801" priority="4795"/>
  </conditionalFormatting>
  <conditionalFormatting sqref="C119">
    <cfRule type="duplicateValues" dxfId="800" priority="2362"/>
    <cfRule type="duplicateValues" dxfId="799" priority="2363"/>
    <cfRule type="duplicateValues" dxfId="798" priority="2367"/>
    <cfRule type="duplicateValues" dxfId="797" priority="2364"/>
    <cfRule type="duplicateValues" dxfId="796" priority="2365"/>
    <cfRule type="duplicateValues" dxfId="795" priority="2366"/>
  </conditionalFormatting>
  <conditionalFormatting sqref="C120">
    <cfRule type="duplicateValues" dxfId="794" priority="728"/>
  </conditionalFormatting>
  <conditionalFormatting sqref="C121">
    <cfRule type="duplicateValues" dxfId="793" priority="5337"/>
    <cfRule type="duplicateValues" dxfId="792" priority="5339"/>
    <cfRule type="duplicateValues" dxfId="791" priority="5341"/>
    <cfRule type="duplicateValues" dxfId="790" priority="5338"/>
    <cfRule type="duplicateValues" dxfId="789" priority="5349"/>
    <cfRule type="duplicateValues" dxfId="788" priority="5348"/>
    <cfRule type="duplicateValues" dxfId="787" priority="5347"/>
    <cfRule type="duplicateValues" dxfId="786" priority="5346"/>
    <cfRule type="duplicateValues" dxfId="785" priority="5345"/>
    <cfRule type="duplicateValues" dxfId="784" priority="5344"/>
    <cfRule type="duplicateValues" dxfId="783" priority="5343"/>
    <cfRule type="duplicateValues" dxfId="782" priority="5342"/>
    <cfRule type="duplicateValues" dxfId="781" priority="5340"/>
  </conditionalFormatting>
  <conditionalFormatting sqref="C122:C123">
    <cfRule type="duplicateValues" dxfId="780" priority="85"/>
  </conditionalFormatting>
  <conditionalFormatting sqref="C124">
    <cfRule type="duplicateValues" dxfId="779" priority="2507"/>
    <cfRule type="duplicateValues" dxfId="778" priority="2508"/>
  </conditionalFormatting>
  <conditionalFormatting sqref="C125">
    <cfRule type="duplicateValues" dxfId="777" priority="5890"/>
    <cfRule type="duplicateValues" dxfId="776" priority="5891"/>
    <cfRule type="duplicateValues" dxfId="775" priority="5892"/>
    <cfRule type="duplicateValues" dxfId="774" priority="5896"/>
    <cfRule type="duplicateValues" dxfId="773" priority="5894"/>
    <cfRule type="duplicateValues" dxfId="772" priority="5893"/>
    <cfRule type="duplicateValues" dxfId="771" priority="5895"/>
  </conditionalFormatting>
  <conditionalFormatting sqref="C127">
    <cfRule type="duplicateValues" dxfId="770" priority="4351"/>
    <cfRule type="duplicateValues" dxfId="769" priority="4352"/>
    <cfRule type="duplicateValues" dxfId="768" priority="4353"/>
  </conditionalFormatting>
  <conditionalFormatting sqref="C129">
    <cfRule type="duplicateValues" dxfId="767" priority="663"/>
  </conditionalFormatting>
  <conditionalFormatting sqref="C131">
    <cfRule type="duplicateValues" dxfId="766" priority="6167"/>
    <cfRule type="duplicateValues" dxfId="765" priority="6168"/>
    <cfRule type="duplicateValues" dxfId="764" priority="6165"/>
    <cfRule type="duplicateValues" dxfId="763" priority="6166"/>
  </conditionalFormatting>
  <conditionalFormatting sqref="C132">
    <cfRule type="duplicateValues" dxfId="762" priority="5810"/>
    <cfRule type="duplicateValues" dxfId="761" priority="5812"/>
    <cfRule type="duplicateValues" dxfId="760" priority="5813"/>
    <cfRule type="duplicateValues" dxfId="759" priority="5814"/>
    <cfRule type="duplicateValues" dxfId="758" priority="5811"/>
    <cfRule type="duplicateValues" dxfId="757" priority="5809"/>
    <cfRule type="duplicateValues" dxfId="756" priority="5808"/>
  </conditionalFormatting>
  <conditionalFormatting sqref="C133:C134">
    <cfRule type="duplicateValues" dxfId="755" priority="1096"/>
    <cfRule type="duplicateValues" dxfId="754" priority="1080"/>
    <cfRule type="duplicateValues" dxfId="753" priority="1082"/>
    <cfRule type="duplicateValues" dxfId="752" priority="1084"/>
    <cfRule type="duplicateValues" dxfId="751" priority="1085"/>
    <cfRule type="duplicateValues" dxfId="750" priority="1095"/>
    <cfRule type="duplicateValues" dxfId="749" priority="1094"/>
    <cfRule type="duplicateValues" dxfId="748" priority="1083"/>
    <cfRule type="duplicateValues" dxfId="747" priority="1093"/>
    <cfRule type="duplicateValues" dxfId="746" priority="1086"/>
    <cfRule type="duplicateValues" dxfId="745" priority="1087"/>
    <cfRule type="duplicateValues" dxfId="744" priority="1088"/>
    <cfRule type="duplicateValues" dxfId="743" priority="1089"/>
    <cfRule type="duplicateValues" dxfId="742" priority="1097"/>
    <cfRule type="duplicateValues" dxfId="741" priority="1091"/>
    <cfRule type="duplicateValues" dxfId="740" priority="1090"/>
    <cfRule type="duplicateValues" dxfId="739" priority="1092"/>
    <cfRule type="duplicateValues" dxfId="738" priority="1081"/>
  </conditionalFormatting>
  <conditionalFormatting sqref="C135">
    <cfRule type="duplicateValues" dxfId="737" priority="2301"/>
    <cfRule type="duplicateValues" dxfId="736" priority="2300"/>
  </conditionalFormatting>
  <conditionalFormatting sqref="C136">
    <cfRule type="duplicateValues" dxfId="735" priority="5266"/>
    <cfRule type="duplicateValues" dxfId="734" priority="5265"/>
    <cfRule type="duplicateValues" dxfId="733" priority="5264"/>
    <cfRule type="duplicateValues" dxfId="732" priority="5263"/>
    <cfRule type="duplicateValues" dxfId="731" priority="5262"/>
    <cfRule type="duplicateValues" dxfId="730" priority="5260"/>
    <cfRule type="duplicateValues" dxfId="729" priority="5259"/>
    <cfRule type="duplicateValues" dxfId="728" priority="5261"/>
    <cfRule type="duplicateValues" dxfId="727" priority="5271"/>
    <cfRule type="duplicateValues" dxfId="726" priority="5270"/>
    <cfRule type="duplicateValues" dxfId="725" priority="5269"/>
    <cfRule type="duplicateValues" dxfId="724" priority="5268"/>
    <cfRule type="duplicateValues" dxfId="723" priority="5267"/>
  </conditionalFormatting>
  <conditionalFormatting sqref="C137">
    <cfRule type="duplicateValues" dxfId="722" priority="936"/>
    <cfRule type="duplicateValues" dxfId="721" priority="937"/>
  </conditionalFormatting>
  <conditionalFormatting sqref="C139">
    <cfRule type="duplicateValues" dxfId="720" priority="945"/>
    <cfRule type="duplicateValues" dxfId="719" priority="944"/>
  </conditionalFormatting>
  <conditionalFormatting sqref="C140">
    <cfRule type="duplicateValues" dxfId="718" priority="12"/>
  </conditionalFormatting>
  <conditionalFormatting sqref="C141:C142">
    <cfRule type="duplicateValues" dxfId="717" priority="723"/>
    <cfRule type="duplicateValues" dxfId="716" priority="724"/>
    <cfRule type="duplicateValues" dxfId="715" priority="725"/>
  </conditionalFormatting>
  <conditionalFormatting sqref="C143">
    <cfRule type="duplicateValues" dxfId="714" priority="5378"/>
    <cfRule type="duplicateValues" dxfId="713" priority="5379"/>
    <cfRule type="duplicateValues" dxfId="712" priority="5380"/>
    <cfRule type="duplicateValues" dxfId="711" priority="5381"/>
    <cfRule type="duplicateValues" dxfId="710" priority="5382"/>
    <cfRule type="duplicateValues" dxfId="709" priority="5383"/>
    <cfRule type="duplicateValues" dxfId="708" priority="5385"/>
    <cfRule type="duplicateValues" dxfId="707" priority="5386"/>
    <cfRule type="duplicateValues" dxfId="706" priority="5377"/>
    <cfRule type="duplicateValues" dxfId="705" priority="5384"/>
    <cfRule type="duplicateValues" dxfId="704" priority="5376"/>
    <cfRule type="duplicateValues" dxfId="703" priority="5375"/>
  </conditionalFormatting>
  <conditionalFormatting sqref="C145">
    <cfRule type="duplicateValues" dxfId="702" priority="1806"/>
    <cfRule type="duplicateValues" dxfId="701" priority="1807"/>
    <cfRule type="duplicateValues" dxfId="700" priority="1808"/>
    <cfRule type="duplicateValues" dxfId="699" priority="1809"/>
  </conditionalFormatting>
  <conditionalFormatting sqref="C146">
    <cfRule type="duplicateValues" dxfId="698" priority="495"/>
    <cfRule type="duplicateValues" dxfId="697" priority="496"/>
    <cfRule type="duplicateValues" dxfId="696" priority="497"/>
    <cfRule type="duplicateValues" dxfId="695" priority="487"/>
    <cfRule type="duplicateValues" dxfId="694" priority="480"/>
    <cfRule type="duplicateValues" dxfId="693" priority="469"/>
    <cfRule type="duplicateValues" dxfId="692" priority="474"/>
    <cfRule type="duplicateValues" dxfId="691" priority="475"/>
    <cfRule type="duplicateValues" dxfId="690" priority="476"/>
    <cfRule type="duplicateValues" dxfId="689" priority="477"/>
    <cfRule type="duplicateValues" dxfId="688" priority="478"/>
    <cfRule type="duplicateValues" dxfId="687" priority="479"/>
    <cfRule type="duplicateValues" dxfId="686" priority="470"/>
    <cfRule type="duplicateValues" dxfId="685" priority="471"/>
    <cfRule type="duplicateValues" dxfId="684" priority="472"/>
    <cfRule type="duplicateValues" dxfId="683" priority="481"/>
    <cfRule type="duplicateValues" dxfId="682" priority="482"/>
    <cfRule type="duplicateValues" dxfId="681" priority="483"/>
    <cfRule type="duplicateValues" dxfId="680" priority="484"/>
    <cfRule type="duplicateValues" dxfId="679" priority="485"/>
    <cfRule type="duplicateValues" dxfId="678" priority="486"/>
    <cfRule type="duplicateValues" dxfId="677" priority="488"/>
    <cfRule type="duplicateValues" dxfId="676" priority="489"/>
    <cfRule type="duplicateValues" dxfId="675" priority="490"/>
    <cfRule type="duplicateValues" dxfId="674" priority="473"/>
    <cfRule type="duplicateValues" dxfId="673" priority="494"/>
    <cfRule type="duplicateValues" dxfId="672" priority="491"/>
    <cfRule type="duplicateValues" dxfId="671" priority="492"/>
    <cfRule type="duplicateValues" dxfId="670" priority="493"/>
  </conditionalFormatting>
  <conditionalFormatting sqref="C147">
    <cfRule type="duplicateValues" dxfId="669" priority="1757"/>
    <cfRule type="duplicateValues" dxfId="668" priority="1758"/>
  </conditionalFormatting>
  <conditionalFormatting sqref="C148">
    <cfRule type="duplicateValues" dxfId="667" priority="1762"/>
  </conditionalFormatting>
  <conditionalFormatting sqref="C149">
    <cfRule type="duplicateValues" dxfId="666" priority="1795"/>
  </conditionalFormatting>
  <conditionalFormatting sqref="C150 C164">
    <cfRule type="duplicateValues" dxfId="665" priority="1155"/>
  </conditionalFormatting>
  <conditionalFormatting sqref="C150">
    <cfRule type="duplicateValues" dxfId="664" priority="1154"/>
  </conditionalFormatting>
  <conditionalFormatting sqref="C151 C160">
    <cfRule type="duplicateValues" dxfId="663" priority="659"/>
    <cfRule type="duplicateValues" dxfId="662" priority="635"/>
    <cfRule type="duplicateValues" dxfId="661" priority="636"/>
  </conditionalFormatting>
  <conditionalFormatting sqref="C151 C194:C210 C378:C379 C282:C285 C270:C277 C356:C363 C160:C161 C313:C314 C332 C233:C246 C264 C353 C306:C308 C351 C311 C295:C296 C387:C459 C164 C344:C348 C316:C317 C334:C338 C175:C180 C155 C256:C260 C323:C326 C365:C366 C185:C191 C368:C370 C298:C304 C381:C384">
    <cfRule type="duplicateValues" dxfId="660" priority="20299"/>
  </conditionalFormatting>
  <conditionalFormatting sqref="C151">
    <cfRule type="duplicateValues" dxfId="659" priority="654"/>
    <cfRule type="duplicateValues" dxfId="658" priority="653"/>
    <cfRule type="duplicateValues" dxfId="657" priority="652"/>
    <cfRule type="duplicateValues" dxfId="656" priority="651"/>
    <cfRule type="duplicateValues" dxfId="655" priority="650"/>
    <cfRule type="duplicateValues" dxfId="654" priority="649"/>
    <cfRule type="duplicateValues" dxfId="653" priority="648"/>
    <cfRule type="duplicateValues" dxfId="652" priority="647"/>
    <cfRule type="duplicateValues" dxfId="651" priority="646"/>
    <cfRule type="duplicateValues" dxfId="650" priority="645"/>
    <cfRule type="duplicateValues" dxfId="649" priority="644"/>
    <cfRule type="duplicateValues" dxfId="648" priority="631"/>
    <cfRule type="duplicateValues" dxfId="647" priority="632"/>
    <cfRule type="duplicateValues" dxfId="646" priority="637"/>
    <cfRule type="duplicateValues" dxfId="645" priority="641"/>
    <cfRule type="duplicateValues" dxfId="644" priority="634"/>
    <cfRule type="duplicateValues" dxfId="643" priority="633"/>
    <cfRule type="duplicateValues" dxfId="642" priority="655"/>
    <cfRule type="duplicateValues" dxfId="641" priority="657"/>
    <cfRule type="duplicateValues" dxfId="640" priority="658"/>
    <cfRule type="duplicateValues" dxfId="639" priority="643"/>
    <cfRule type="duplicateValues" dxfId="638" priority="642"/>
    <cfRule type="duplicateValues" dxfId="637" priority="656"/>
    <cfRule type="duplicateValues" dxfId="636" priority="640"/>
    <cfRule type="duplicateValues" dxfId="635" priority="639"/>
    <cfRule type="duplicateValues" dxfId="634" priority="638"/>
  </conditionalFormatting>
  <conditionalFormatting sqref="C152:C154">
    <cfRule type="duplicateValues" dxfId="633" priority="84"/>
  </conditionalFormatting>
  <conditionalFormatting sqref="C155">
    <cfRule type="duplicateValues" dxfId="632" priority="405"/>
  </conditionalFormatting>
  <conditionalFormatting sqref="C156">
    <cfRule type="duplicateValues" dxfId="631" priority="282"/>
    <cfRule type="duplicateValues" dxfId="630" priority="283"/>
    <cfRule type="duplicateValues" dxfId="629" priority="284"/>
  </conditionalFormatting>
  <conditionalFormatting sqref="C157:C158">
    <cfRule type="duplicateValues" dxfId="628" priority="271"/>
    <cfRule type="duplicateValues" dxfId="627" priority="273"/>
    <cfRule type="duplicateValues" dxfId="626" priority="272"/>
  </conditionalFormatting>
  <conditionalFormatting sqref="C159">
    <cfRule type="duplicateValues" dxfId="625" priority="270"/>
    <cfRule type="duplicateValues" dxfId="624" priority="268"/>
    <cfRule type="duplicateValues" dxfId="623" priority="269"/>
  </conditionalFormatting>
  <conditionalFormatting sqref="C161">
    <cfRule type="duplicateValues" dxfId="622" priority="357"/>
  </conditionalFormatting>
  <conditionalFormatting sqref="C162:C163">
    <cfRule type="duplicateValues" dxfId="621" priority="155"/>
    <cfRule type="duplicateValues" dxfId="620" priority="157"/>
    <cfRule type="duplicateValues" dxfId="619" priority="156"/>
    <cfRule type="duplicateValues" dxfId="618" priority="154"/>
  </conditionalFormatting>
  <conditionalFormatting sqref="C165:C168">
    <cfRule type="duplicateValues" dxfId="617" priority="98"/>
  </conditionalFormatting>
  <conditionalFormatting sqref="C169">
    <cfRule type="duplicateValues" dxfId="616" priority="103"/>
    <cfRule type="duplicateValues" dxfId="615" priority="102"/>
    <cfRule type="duplicateValues" dxfId="614" priority="101"/>
    <cfRule type="duplicateValues" dxfId="613" priority="100"/>
    <cfRule type="duplicateValues" dxfId="612" priority="99"/>
    <cfRule type="duplicateValues" dxfId="611" priority="105"/>
    <cfRule type="duplicateValues" dxfId="610" priority="104"/>
  </conditionalFormatting>
  <conditionalFormatting sqref="C170:C171">
    <cfRule type="duplicateValues" dxfId="609" priority="97"/>
  </conditionalFormatting>
  <conditionalFormatting sqref="C172:C173">
    <cfRule type="duplicateValues" dxfId="608" priority="96"/>
  </conditionalFormatting>
  <conditionalFormatting sqref="C174">
    <cfRule type="duplicateValues" dxfId="607" priority="95"/>
  </conditionalFormatting>
  <conditionalFormatting sqref="C175:C180 C194:C210 C378:C379 C282:C285 C270:C277 C356:C363 C313:C314 C332 C233:C246 C264 C353 C306:C308 C351 C311 C295:C296 C387:C459 C344:C348 C316:C317 C334:C338 C256:C260 C323:C326 C365:C366 C185:C191 C368:C370 C298:C304 C381:C384">
    <cfRule type="duplicateValues" dxfId="606" priority="20293"/>
    <cfRule type="duplicateValues" dxfId="605" priority="20270"/>
    <cfRule type="duplicateValues" dxfId="604" priority="20294"/>
  </conditionalFormatting>
  <conditionalFormatting sqref="C181:C182">
    <cfRule type="duplicateValues" dxfId="603" priority="55"/>
    <cfRule type="duplicateValues" dxfId="602" priority="56"/>
  </conditionalFormatting>
  <conditionalFormatting sqref="C183:C184">
    <cfRule type="duplicateValues" dxfId="601" priority="54"/>
    <cfRule type="duplicateValues" dxfId="600" priority="53"/>
  </conditionalFormatting>
  <conditionalFormatting sqref="C192:C193">
    <cfRule type="duplicateValues" dxfId="599" priority="315"/>
    <cfRule type="duplicateValues" dxfId="598" priority="314"/>
    <cfRule type="duplicateValues" dxfId="597" priority="317"/>
    <cfRule type="duplicateValues" dxfId="596" priority="318"/>
    <cfRule type="duplicateValues" dxfId="595" priority="316"/>
  </conditionalFormatting>
  <conditionalFormatting sqref="C211:C220">
    <cfRule type="duplicateValues" dxfId="594" priority="248"/>
    <cfRule type="duplicateValues" dxfId="593" priority="247"/>
    <cfRule type="duplicateValues" dxfId="592" priority="246"/>
  </conditionalFormatting>
  <conditionalFormatting sqref="C221">
    <cfRule type="duplicateValues" dxfId="591" priority="252"/>
    <cfRule type="duplicateValues" dxfId="590" priority="251"/>
    <cfRule type="duplicateValues" dxfId="589" priority="250"/>
    <cfRule type="duplicateValues" dxfId="588" priority="249"/>
    <cfRule type="duplicateValues" dxfId="587" priority="253"/>
  </conditionalFormatting>
  <conditionalFormatting sqref="C222">
    <cfRule type="duplicateValues" dxfId="586" priority="245"/>
    <cfRule type="duplicateValues" dxfId="585" priority="244"/>
    <cfRule type="duplicateValues" dxfId="584" priority="243"/>
  </conditionalFormatting>
  <conditionalFormatting sqref="C223">
    <cfRule type="duplicateValues" dxfId="583" priority="16"/>
  </conditionalFormatting>
  <conditionalFormatting sqref="C224">
    <cfRule type="duplicateValues" dxfId="582" priority="15"/>
  </conditionalFormatting>
  <conditionalFormatting sqref="C225:C227">
    <cfRule type="duplicateValues" dxfId="581" priority="14"/>
  </conditionalFormatting>
  <conditionalFormatting sqref="C228">
    <cfRule type="duplicateValues" dxfId="580" priority="21"/>
    <cfRule type="duplicateValues" dxfId="579" priority="46"/>
    <cfRule type="duplicateValues" dxfId="578" priority="22"/>
    <cfRule type="duplicateValues" dxfId="577" priority="47"/>
    <cfRule type="duplicateValues" dxfId="576" priority="30"/>
    <cfRule type="duplicateValues" dxfId="575" priority="31"/>
    <cfRule type="duplicateValues" dxfId="574" priority="33"/>
    <cfRule type="duplicateValues" dxfId="573" priority="32"/>
    <cfRule type="duplicateValues" dxfId="572" priority="25"/>
    <cfRule type="duplicateValues" dxfId="571" priority="48"/>
    <cfRule type="duplicateValues" dxfId="570" priority="26"/>
    <cfRule type="duplicateValues" dxfId="569" priority="36"/>
    <cfRule type="duplicateValues" dxfId="568" priority="37"/>
    <cfRule type="duplicateValues" dxfId="567" priority="38"/>
    <cfRule type="duplicateValues" dxfId="566" priority="39"/>
    <cfRule type="duplicateValues" dxfId="565" priority="40"/>
    <cfRule type="duplicateValues" dxfId="564" priority="41"/>
    <cfRule type="duplicateValues" dxfId="563" priority="42"/>
    <cfRule type="duplicateValues" dxfId="562" priority="43"/>
    <cfRule type="duplicateValues" dxfId="561" priority="44"/>
    <cfRule type="duplicateValues" dxfId="560" priority="45"/>
    <cfRule type="duplicateValues" dxfId="559" priority="34"/>
    <cfRule type="duplicateValues" dxfId="558" priority="18"/>
    <cfRule type="duplicateValues" dxfId="557" priority="19"/>
    <cfRule type="duplicateValues" dxfId="556" priority="23"/>
    <cfRule type="duplicateValues" dxfId="555" priority="35"/>
    <cfRule type="duplicateValues" dxfId="554" priority="17"/>
    <cfRule type="duplicateValues" dxfId="553" priority="24"/>
    <cfRule type="duplicateValues" dxfId="552" priority="29"/>
    <cfRule type="duplicateValues" dxfId="551" priority="20"/>
    <cfRule type="duplicateValues" dxfId="550" priority="28"/>
    <cfRule type="duplicateValues" dxfId="549" priority="27"/>
  </conditionalFormatting>
  <conditionalFormatting sqref="C229:C232">
    <cfRule type="duplicateValues" dxfId="548" priority="13"/>
  </conditionalFormatting>
  <conditionalFormatting sqref="C247:C250">
    <cfRule type="duplicateValues" dxfId="547" priority="77"/>
  </conditionalFormatting>
  <conditionalFormatting sqref="C251:C253">
    <cfRule type="duplicateValues" dxfId="546" priority="76"/>
  </conditionalFormatting>
  <conditionalFormatting sqref="C254:C255">
    <cfRule type="duplicateValues" dxfId="545" priority="79"/>
    <cfRule type="duplicateValues" dxfId="544" priority="81"/>
    <cfRule type="duplicateValues" dxfId="543" priority="80"/>
    <cfRule type="duplicateValues" dxfId="542" priority="83"/>
    <cfRule type="duplicateValues" dxfId="541" priority="78"/>
    <cfRule type="duplicateValues" dxfId="540" priority="82"/>
  </conditionalFormatting>
  <conditionalFormatting sqref="C261:C263">
    <cfRule type="duplicateValues" dxfId="539" priority="233"/>
    <cfRule type="duplicateValues" dxfId="538" priority="234"/>
  </conditionalFormatting>
  <conditionalFormatting sqref="C265:C269">
    <cfRule type="duplicateValues" dxfId="537" priority="294"/>
    <cfRule type="duplicateValues" dxfId="536" priority="293"/>
    <cfRule type="duplicateValues" dxfId="535" priority="292"/>
    <cfRule type="duplicateValues" dxfId="534" priority="291"/>
    <cfRule type="duplicateValues" dxfId="533" priority="290"/>
  </conditionalFormatting>
  <conditionalFormatting sqref="C278:C279">
    <cfRule type="duplicateValues" dxfId="532" priority="121"/>
  </conditionalFormatting>
  <conditionalFormatting sqref="C280">
    <cfRule type="duplicateValues" dxfId="531" priority="120"/>
  </conditionalFormatting>
  <conditionalFormatting sqref="C281">
    <cfRule type="duplicateValues" dxfId="530" priority="298"/>
    <cfRule type="duplicateValues" dxfId="529" priority="299"/>
    <cfRule type="duplicateValues" dxfId="528" priority="297"/>
    <cfRule type="duplicateValues" dxfId="527" priority="296"/>
    <cfRule type="duplicateValues" dxfId="526" priority="295"/>
  </conditionalFormatting>
  <conditionalFormatting sqref="C286:C294">
    <cfRule type="duplicateValues" dxfId="525" priority="166"/>
    <cfRule type="duplicateValues" dxfId="524" priority="164"/>
    <cfRule type="duplicateValues" dxfId="523" priority="165"/>
  </conditionalFormatting>
  <conditionalFormatting sqref="C297">
    <cfRule type="duplicateValues" dxfId="522" priority="10"/>
  </conditionalFormatting>
  <conditionalFormatting sqref="C305">
    <cfRule type="duplicateValues" dxfId="521" priority="218"/>
    <cfRule type="duplicateValues" dxfId="520" priority="219"/>
    <cfRule type="duplicateValues" dxfId="519" priority="220"/>
    <cfRule type="duplicateValues" dxfId="518" priority="221"/>
    <cfRule type="duplicateValues" dxfId="517" priority="222"/>
    <cfRule type="duplicateValues" dxfId="516" priority="223"/>
    <cfRule type="duplicateValues" dxfId="515" priority="224"/>
    <cfRule type="duplicateValues" dxfId="514" priority="225"/>
    <cfRule type="duplicateValues" dxfId="513" priority="226"/>
    <cfRule type="duplicateValues" dxfId="512" priority="227"/>
    <cfRule type="duplicateValues" dxfId="511" priority="228"/>
    <cfRule type="duplicateValues" dxfId="510" priority="230"/>
    <cfRule type="duplicateValues" dxfId="509" priority="231"/>
    <cfRule type="duplicateValues" dxfId="508" priority="232"/>
    <cfRule type="duplicateValues" dxfId="507" priority="203"/>
    <cfRule type="duplicateValues" dxfId="506" priority="217"/>
    <cfRule type="duplicateValues" dxfId="505" priority="229"/>
    <cfRule type="duplicateValues" dxfId="504" priority="209"/>
    <cfRule type="duplicateValues" dxfId="503" priority="212"/>
    <cfRule type="duplicateValues" dxfId="502" priority="210"/>
    <cfRule type="duplicateValues" dxfId="501" priority="211"/>
    <cfRule type="duplicateValues" dxfId="500" priority="213"/>
    <cfRule type="duplicateValues" dxfId="499" priority="204"/>
    <cfRule type="duplicateValues" dxfId="498" priority="205"/>
    <cfRule type="duplicateValues" dxfId="497" priority="206"/>
    <cfRule type="duplicateValues" dxfId="496" priority="207"/>
    <cfRule type="duplicateValues" dxfId="495" priority="208"/>
    <cfRule type="duplicateValues" dxfId="494" priority="214"/>
    <cfRule type="duplicateValues" dxfId="493" priority="215"/>
    <cfRule type="duplicateValues" dxfId="492" priority="216"/>
  </conditionalFormatting>
  <conditionalFormatting sqref="C309">
    <cfRule type="duplicateValues" dxfId="491" priority="170"/>
  </conditionalFormatting>
  <conditionalFormatting sqref="C310">
    <cfRule type="duplicateValues" dxfId="490" priority="169"/>
  </conditionalFormatting>
  <conditionalFormatting sqref="C312">
    <cfRule type="duplicateValues" dxfId="489" priority="131"/>
    <cfRule type="duplicateValues" dxfId="488" priority="132"/>
    <cfRule type="duplicateValues" dxfId="487" priority="133"/>
  </conditionalFormatting>
  <conditionalFormatting sqref="C315">
    <cfRule type="duplicateValues" dxfId="486" priority="136"/>
    <cfRule type="duplicateValues" dxfId="485" priority="137"/>
  </conditionalFormatting>
  <conditionalFormatting sqref="C318">
    <cfRule type="duplicateValues" dxfId="484" priority="75"/>
  </conditionalFormatting>
  <conditionalFormatting sqref="C319 C322">
    <cfRule type="duplicateValues" dxfId="483" priority="74"/>
  </conditionalFormatting>
  <conditionalFormatting sqref="C320:C321">
    <cfRule type="duplicateValues" dxfId="482" priority="50"/>
    <cfRule type="duplicateValues" dxfId="481" priority="49"/>
  </conditionalFormatting>
  <conditionalFormatting sqref="C330">
    <cfRule type="duplicateValues" dxfId="480" priority="2"/>
    <cfRule type="duplicateValues" dxfId="479" priority="1"/>
  </conditionalFormatting>
  <conditionalFormatting sqref="C333">
    <cfRule type="duplicateValues" dxfId="478" priority="111"/>
    <cfRule type="duplicateValues" dxfId="477" priority="112"/>
    <cfRule type="duplicateValues" dxfId="476" priority="110"/>
  </conditionalFormatting>
  <conditionalFormatting sqref="C339">
    <cfRule type="duplicateValues" dxfId="475" priority="148"/>
    <cfRule type="duplicateValues" dxfId="474" priority="149"/>
  </conditionalFormatting>
  <conditionalFormatting sqref="C340:C342">
    <cfRule type="duplicateValues" dxfId="473" priority="147"/>
    <cfRule type="duplicateValues" dxfId="472" priority="146"/>
  </conditionalFormatting>
  <conditionalFormatting sqref="C343">
    <cfRule type="duplicateValues" dxfId="471" priority="144"/>
    <cfRule type="duplicateValues" dxfId="470" priority="145"/>
  </conditionalFormatting>
  <conditionalFormatting sqref="C354:C355">
    <cfRule type="duplicateValues" dxfId="469" priority="142"/>
    <cfRule type="duplicateValues" dxfId="468" priority="143"/>
  </conditionalFormatting>
  <conditionalFormatting sqref="C364">
    <cfRule type="duplicateValues" dxfId="467" priority="61"/>
    <cfRule type="duplicateValues" dxfId="466" priority="63"/>
    <cfRule type="duplicateValues" dxfId="465" priority="62"/>
  </conditionalFormatting>
  <conditionalFormatting sqref="C367">
    <cfRule type="duplicateValues" dxfId="464" priority="11"/>
  </conditionalFormatting>
  <conditionalFormatting sqref="C371:C372">
    <cfRule type="duplicateValues" dxfId="463" priority="67"/>
  </conditionalFormatting>
  <conditionalFormatting sqref="C373">
    <cfRule type="duplicateValues" dxfId="462" priority="66"/>
  </conditionalFormatting>
  <conditionalFormatting sqref="C380">
    <cfRule type="duplicateValues" dxfId="461" priority="8"/>
  </conditionalFormatting>
  <conditionalFormatting sqref="C385">
    <cfRule type="duplicateValues" dxfId="460" priority="163"/>
  </conditionalFormatting>
  <conditionalFormatting sqref="C386">
    <cfRule type="duplicateValues" dxfId="459" priority="162"/>
  </conditionalFormatting>
  <conditionalFormatting sqref="C460">
    <cfRule type="duplicateValues" dxfId="458" priority="1607"/>
  </conditionalFormatting>
  <conditionalFormatting sqref="C461 C467">
    <cfRule type="duplicateValues" dxfId="457" priority="1613"/>
  </conditionalFormatting>
  <conditionalFormatting sqref="C461 C467:C468">
    <cfRule type="duplicateValues" dxfId="456" priority="1608"/>
  </conditionalFormatting>
  <conditionalFormatting sqref="C461">
    <cfRule type="duplicateValues" dxfId="455" priority="1616"/>
  </conditionalFormatting>
  <conditionalFormatting sqref="C462 C465">
    <cfRule type="duplicateValues" dxfId="454" priority="1606"/>
  </conditionalFormatting>
  <conditionalFormatting sqref="C463">
    <cfRule type="duplicateValues" dxfId="453" priority="59"/>
    <cfRule type="duplicateValues" dxfId="452" priority="60"/>
  </conditionalFormatting>
  <conditionalFormatting sqref="C464">
    <cfRule type="duplicateValues" dxfId="451" priority="58"/>
    <cfRule type="duplicateValues" dxfId="450" priority="57"/>
  </conditionalFormatting>
  <conditionalFormatting sqref="C466">
    <cfRule type="duplicateValues" dxfId="449" priority="1137"/>
    <cfRule type="duplicateValues" dxfId="448" priority="1134"/>
    <cfRule type="duplicateValues" dxfId="447" priority="1135"/>
    <cfRule type="duplicateValues" dxfId="446" priority="1136"/>
  </conditionalFormatting>
  <conditionalFormatting sqref="C467">
    <cfRule type="duplicateValues" dxfId="445" priority="1614"/>
  </conditionalFormatting>
  <conditionalFormatting sqref="C468">
    <cfRule type="duplicateValues" dxfId="444" priority="1610"/>
    <cfRule type="duplicateValues" dxfId="443" priority="1609"/>
    <cfRule type="duplicateValues" dxfId="442" priority="1611"/>
    <cfRule type="duplicateValues" dxfId="441" priority="1612"/>
  </conditionalFormatting>
  <conditionalFormatting sqref="C469">
    <cfRule type="duplicateValues" dxfId="440" priority="1934"/>
    <cfRule type="duplicateValues" dxfId="439" priority="1935"/>
    <cfRule type="duplicateValues" dxfId="438" priority="1936"/>
    <cfRule type="duplicateValues" dxfId="437" priority="1937"/>
  </conditionalFormatting>
  <conditionalFormatting sqref="C470">
    <cfRule type="duplicateValues" dxfId="436" priority="942"/>
    <cfRule type="duplicateValues" dxfId="435" priority="943"/>
  </conditionalFormatting>
  <conditionalFormatting sqref="C471:C473">
    <cfRule type="duplicateValues" dxfId="434" priority="140"/>
    <cfRule type="duplicateValues" dxfId="433" priority="141"/>
  </conditionalFormatting>
  <conditionalFormatting sqref="C474">
    <cfRule type="duplicateValues" dxfId="432" priority="139"/>
    <cfRule type="duplicateValues" dxfId="431" priority="138"/>
  </conditionalFormatting>
  <conditionalFormatting sqref="C475">
    <cfRule type="duplicateValues" dxfId="430" priority="359"/>
  </conditionalFormatting>
  <conditionalFormatting sqref="C476">
    <cfRule type="duplicateValues" dxfId="429" priority="358"/>
  </conditionalFormatting>
  <conditionalFormatting sqref="C477">
    <cfRule type="duplicateValues" dxfId="428" priority="1979"/>
    <cfRule type="duplicateValues" dxfId="427" priority="1978"/>
    <cfRule type="duplicateValues" dxfId="426" priority="1981"/>
    <cfRule type="duplicateValues" dxfId="425" priority="1980"/>
  </conditionalFormatting>
  <conditionalFormatting sqref="C478">
    <cfRule type="duplicateValues" dxfId="424" priority="3262"/>
  </conditionalFormatting>
  <conditionalFormatting sqref="C479">
    <cfRule type="duplicateValues" dxfId="423" priority="93"/>
  </conditionalFormatting>
  <conditionalFormatting sqref="C480">
    <cfRule type="duplicateValues" dxfId="422" priority="92"/>
  </conditionalFormatting>
  <conditionalFormatting sqref="C482">
    <cfRule type="duplicateValues" dxfId="421" priority="3247"/>
    <cfRule type="duplicateValues" dxfId="420" priority="3248"/>
    <cfRule type="duplicateValues" dxfId="419" priority="3253"/>
    <cfRule type="duplicateValues" dxfId="418" priority="3249"/>
    <cfRule type="duplicateValues" dxfId="417" priority="3250"/>
    <cfRule type="duplicateValues" dxfId="416" priority="3251"/>
    <cfRule type="duplicateValues" dxfId="415" priority="3252"/>
    <cfRule type="duplicateValues" dxfId="414" priority="3254"/>
  </conditionalFormatting>
  <conditionalFormatting sqref="C483:C484">
    <cfRule type="duplicateValues" dxfId="413" priority="109"/>
    <cfRule type="duplicateValues" dxfId="412" priority="108"/>
    <cfRule type="duplicateValues" dxfId="411" priority="107"/>
  </conditionalFormatting>
  <conditionalFormatting sqref="C485">
    <cfRule type="duplicateValues" dxfId="410" priority="2477"/>
    <cfRule type="duplicateValues" dxfId="409" priority="2478"/>
  </conditionalFormatting>
  <conditionalFormatting sqref="C486:C487">
    <cfRule type="duplicateValues" dxfId="408" priority="2475"/>
    <cfRule type="duplicateValues" dxfId="407" priority="2476"/>
  </conditionalFormatting>
  <conditionalFormatting sqref="C488:C489">
    <cfRule type="duplicateValues" dxfId="406" priority="202"/>
  </conditionalFormatting>
  <conditionalFormatting sqref="C490">
    <cfRule type="duplicateValues" dxfId="405" priority="201"/>
  </conditionalFormatting>
  <conditionalFormatting sqref="C491:C493">
    <cfRule type="duplicateValues" dxfId="404" priority="168"/>
    <cfRule type="duplicateValues" dxfId="403" priority="167"/>
  </conditionalFormatting>
  <conditionalFormatting sqref="C494">
    <cfRule type="duplicateValues" dxfId="402" priority="6334"/>
    <cfRule type="duplicateValues" dxfId="401" priority="6332"/>
    <cfRule type="duplicateValues" dxfId="400" priority="6368"/>
    <cfRule type="duplicateValues" dxfId="399" priority="6360"/>
  </conditionalFormatting>
  <conditionalFormatting sqref="C496">
    <cfRule type="duplicateValues" dxfId="398" priority="939"/>
    <cfRule type="duplicateValues" dxfId="397" priority="938"/>
  </conditionalFormatting>
  <conditionalFormatting sqref="C497:C498 C501 C525 C504 C530 C535">
    <cfRule type="duplicateValues" dxfId="396" priority="6551"/>
  </conditionalFormatting>
  <conditionalFormatting sqref="C497:C498 C501 C525 C504 C530">
    <cfRule type="duplicateValues" dxfId="395" priority="6550"/>
  </conditionalFormatting>
  <conditionalFormatting sqref="C497:C498">
    <cfRule type="duplicateValues" dxfId="394" priority="6549"/>
    <cfRule type="duplicateValues" dxfId="393" priority="6548"/>
  </conditionalFormatting>
  <conditionalFormatting sqref="C499">
    <cfRule type="duplicateValues" dxfId="392" priority="119"/>
  </conditionalFormatting>
  <conditionalFormatting sqref="C500">
    <cfRule type="duplicateValues" dxfId="391" priority="2174"/>
  </conditionalFormatting>
  <conditionalFormatting sqref="C502">
    <cfRule type="duplicateValues" dxfId="390" priority="2203"/>
    <cfRule type="duplicateValues" dxfId="389" priority="2202"/>
    <cfRule type="duplicateValues" dxfId="388" priority="2204"/>
  </conditionalFormatting>
  <conditionalFormatting sqref="C503">
    <cfRule type="duplicateValues" dxfId="387" priority="567"/>
    <cfRule type="duplicateValues" dxfId="386" priority="566"/>
    <cfRule type="duplicateValues" dxfId="385" priority="565"/>
    <cfRule type="duplicateValues" dxfId="384" priority="564"/>
    <cfRule type="duplicateValues" dxfId="383" priority="563"/>
    <cfRule type="duplicateValues" dxfId="382" priority="561"/>
    <cfRule type="duplicateValues" dxfId="381" priority="562"/>
    <cfRule type="duplicateValues" dxfId="380" priority="560"/>
    <cfRule type="duplicateValues" dxfId="379" priority="559"/>
    <cfRule type="duplicateValues" dxfId="378" priority="558"/>
    <cfRule type="duplicateValues" dxfId="377" priority="557"/>
    <cfRule type="duplicateValues" dxfId="376" priority="556"/>
    <cfRule type="duplicateValues" dxfId="375" priority="544"/>
    <cfRule type="duplicateValues" dxfId="374" priority="555"/>
    <cfRule type="duplicateValues" dxfId="373" priority="554"/>
    <cfRule type="duplicateValues" dxfId="372" priority="552"/>
    <cfRule type="duplicateValues" dxfId="371" priority="551"/>
    <cfRule type="duplicateValues" dxfId="370" priority="550"/>
    <cfRule type="duplicateValues" dxfId="369" priority="549"/>
    <cfRule type="duplicateValues" dxfId="368" priority="548"/>
    <cfRule type="duplicateValues" dxfId="367" priority="547"/>
    <cfRule type="duplicateValues" dxfId="366" priority="546"/>
    <cfRule type="duplicateValues" dxfId="365" priority="545"/>
    <cfRule type="duplicateValues" dxfId="364" priority="553"/>
    <cfRule type="duplicateValues" dxfId="363" priority="572"/>
    <cfRule type="duplicateValues" dxfId="362" priority="571"/>
    <cfRule type="duplicateValues" dxfId="361" priority="570"/>
    <cfRule type="duplicateValues" dxfId="360" priority="569"/>
    <cfRule type="duplicateValues" dxfId="359" priority="568"/>
  </conditionalFormatting>
  <conditionalFormatting sqref="C505:C506">
    <cfRule type="duplicateValues" dxfId="358" priority="505"/>
  </conditionalFormatting>
  <conditionalFormatting sqref="C507">
    <cfRule type="duplicateValues" dxfId="357" priority="504"/>
  </conditionalFormatting>
  <conditionalFormatting sqref="C508">
    <cfRule type="duplicateValues" dxfId="356" priority="2513"/>
    <cfRule type="duplicateValues" dxfId="355" priority="2514"/>
  </conditionalFormatting>
  <conditionalFormatting sqref="C509">
    <cfRule type="duplicateValues" dxfId="354" priority="2415"/>
    <cfRule type="duplicateValues" dxfId="353" priority="2413"/>
    <cfRule type="duplicateValues" dxfId="352" priority="2416"/>
    <cfRule type="duplicateValues" dxfId="351" priority="2412"/>
    <cfRule type="duplicateValues" dxfId="350" priority="2414"/>
    <cfRule type="duplicateValues" dxfId="349" priority="2411"/>
    <cfRule type="duplicateValues" dxfId="348" priority="2410"/>
  </conditionalFormatting>
  <conditionalFormatting sqref="C510">
    <cfRule type="duplicateValues" dxfId="347" priority="2938"/>
    <cfRule type="duplicateValues" dxfId="346" priority="2939"/>
    <cfRule type="duplicateValues" dxfId="345" priority="2940"/>
    <cfRule type="duplicateValues" dxfId="344" priority="2937"/>
    <cfRule type="duplicateValues" dxfId="343" priority="2936"/>
    <cfRule type="duplicateValues" dxfId="342" priority="2935"/>
    <cfRule type="duplicateValues" dxfId="341" priority="2934"/>
  </conditionalFormatting>
  <conditionalFormatting sqref="C511">
    <cfRule type="duplicateValues" dxfId="340" priority="374"/>
    <cfRule type="duplicateValues" dxfId="339" priority="373"/>
    <cfRule type="duplicateValues" dxfId="338" priority="372"/>
    <cfRule type="duplicateValues" dxfId="337" priority="371"/>
  </conditionalFormatting>
  <conditionalFormatting sqref="C512">
    <cfRule type="duplicateValues" dxfId="336" priority="363"/>
  </conditionalFormatting>
  <conditionalFormatting sqref="C513">
    <cfRule type="duplicateValues" dxfId="335" priority="307"/>
    <cfRule type="duplicateValues" dxfId="334" priority="308"/>
  </conditionalFormatting>
  <conditionalFormatting sqref="C514">
    <cfRule type="duplicateValues" dxfId="333" priority="301"/>
    <cfRule type="duplicateValues" dxfId="332" priority="300"/>
  </conditionalFormatting>
  <conditionalFormatting sqref="C515">
    <cfRule type="duplicateValues" dxfId="331" priority="2119"/>
  </conditionalFormatting>
  <conditionalFormatting sqref="C516">
    <cfRule type="duplicateValues" dxfId="330" priority="241"/>
    <cfRule type="duplicateValues" dxfId="329" priority="240"/>
    <cfRule type="duplicateValues" dxfId="328" priority="239"/>
    <cfRule type="duplicateValues" dxfId="327" priority="237"/>
    <cfRule type="duplicateValues" dxfId="326" priority="238"/>
  </conditionalFormatting>
  <conditionalFormatting sqref="C517:C518">
    <cfRule type="duplicateValues" dxfId="325" priority="2754"/>
    <cfRule type="duplicateValues" dxfId="324" priority="2755"/>
    <cfRule type="duplicateValues" dxfId="323" priority="2756"/>
    <cfRule type="duplicateValues" dxfId="322" priority="2757"/>
    <cfRule type="duplicateValues" dxfId="321" priority="2758"/>
    <cfRule type="duplicateValues" dxfId="320" priority="2759"/>
    <cfRule type="duplicateValues" dxfId="319" priority="2760"/>
    <cfRule type="duplicateValues" dxfId="318" priority="2761"/>
    <cfRule type="duplicateValues" dxfId="317" priority="2762"/>
    <cfRule type="duplicateValues" dxfId="316" priority="2764"/>
    <cfRule type="duplicateValues" dxfId="315" priority="2763"/>
    <cfRule type="duplicateValues" dxfId="314" priority="2745"/>
    <cfRule type="duplicateValues" dxfId="313" priority="2746"/>
    <cfRule type="duplicateValues" dxfId="312" priority="2744"/>
    <cfRule type="duplicateValues" dxfId="311" priority="2747"/>
    <cfRule type="duplicateValues" dxfId="310" priority="2748"/>
    <cfRule type="duplicateValues" dxfId="309" priority="2749"/>
    <cfRule type="duplicateValues" dxfId="308" priority="2750"/>
    <cfRule type="duplicateValues" dxfId="307" priority="2751"/>
    <cfRule type="duplicateValues" dxfId="306" priority="2752"/>
    <cfRule type="duplicateValues" dxfId="305" priority="2753"/>
  </conditionalFormatting>
  <conditionalFormatting sqref="C519">
    <cfRule type="duplicateValues" dxfId="304" priority="235"/>
    <cfRule type="duplicateValues" dxfId="303" priority="236"/>
  </conditionalFormatting>
  <conditionalFormatting sqref="C520:C521">
    <cfRule type="duplicateValues" dxfId="302" priority="1605"/>
  </conditionalFormatting>
  <conditionalFormatting sqref="C522">
    <cfRule type="duplicateValues" dxfId="301" priority="3264"/>
    <cfRule type="duplicateValues" dxfId="300" priority="3263"/>
    <cfRule type="duplicateValues" dxfId="299" priority="3267"/>
    <cfRule type="duplicateValues" dxfId="298" priority="3266"/>
    <cfRule type="duplicateValues" dxfId="297" priority="3265"/>
    <cfRule type="duplicateValues" dxfId="296" priority="3270"/>
    <cfRule type="duplicateValues" dxfId="295" priority="3269"/>
    <cfRule type="duplicateValues" dxfId="294" priority="3268"/>
  </conditionalFormatting>
  <conditionalFormatting sqref="C523">
    <cfRule type="duplicateValues" dxfId="293" priority="3490"/>
    <cfRule type="duplicateValues" dxfId="292" priority="3489"/>
    <cfRule type="duplicateValues" dxfId="291" priority="3488"/>
    <cfRule type="duplicateValues" dxfId="290" priority="3487"/>
    <cfRule type="duplicateValues" dxfId="289" priority="3486"/>
    <cfRule type="duplicateValues" dxfId="288" priority="3491"/>
  </conditionalFormatting>
  <conditionalFormatting sqref="C524">
    <cfRule type="duplicateValues" dxfId="287" priority="2527"/>
    <cfRule type="duplicateValues" dxfId="286" priority="2526"/>
  </conditionalFormatting>
  <conditionalFormatting sqref="C526:C528">
    <cfRule type="duplicateValues" dxfId="285" priority="1010"/>
    <cfRule type="duplicateValues" dxfId="284" priority="1024"/>
    <cfRule type="duplicateValues" dxfId="283" priority="1025"/>
    <cfRule type="duplicateValues" dxfId="282" priority="1009"/>
    <cfRule type="duplicateValues" dxfId="281" priority="1008"/>
    <cfRule type="duplicateValues" dxfId="280" priority="1007"/>
    <cfRule type="duplicateValues" dxfId="279" priority="1012"/>
    <cfRule type="duplicateValues" dxfId="278" priority="1013"/>
    <cfRule type="duplicateValues" dxfId="277" priority="1014"/>
    <cfRule type="duplicateValues" dxfId="276" priority="1015"/>
    <cfRule type="duplicateValues" dxfId="275" priority="1016"/>
    <cfRule type="duplicateValues" dxfId="274" priority="1017"/>
    <cfRule type="duplicateValues" dxfId="273" priority="1011"/>
    <cfRule type="duplicateValues" dxfId="272" priority="1019"/>
    <cfRule type="duplicateValues" dxfId="271" priority="1020"/>
    <cfRule type="duplicateValues" dxfId="270" priority="1021"/>
    <cfRule type="duplicateValues" dxfId="269" priority="1023"/>
    <cfRule type="duplicateValues" dxfId="268" priority="1022"/>
    <cfRule type="duplicateValues" dxfId="267" priority="1018"/>
  </conditionalFormatting>
  <conditionalFormatting sqref="C529">
    <cfRule type="duplicateValues" dxfId="266" priority="5590"/>
    <cfRule type="duplicateValues" dxfId="265" priority="5591"/>
    <cfRule type="duplicateValues" dxfId="264" priority="5593"/>
    <cfRule type="duplicateValues" dxfId="263" priority="5592"/>
    <cfRule type="duplicateValues" dxfId="262" priority="5586"/>
    <cfRule type="duplicateValues" dxfId="261" priority="5587"/>
    <cfRule type="duplicateValues" dxfId="260" priority="5588"/>
    <cfRule type="duplicateValues" dxfId="259" priority="5589"/>
  </conditionalFormatting>
  <conditionalFormatting sqref="C531:C532">
    <cfRule type="duplicateValues" dxfId="258" priority="1604"/>
  </conditionalFormatting>
  <conditionalFormatting sqref="C533">
    <cfRule type="duplicateValues" dxfId="257" priority="94"/>
  </conditionalFormatting>
  <conditionalFormatting sqref="C534">
    <cfRule type="duplicateValues" dxfId="256" priority="1976"/>
    <cfRule type="duplicateValues" dxfId="255" priority="1977"/>
    <cfRule type="duplicateValues" dxfId="254" priority="1974"/>
    <cfRule type="duplicateValues" dxfId="253" priority="1975"/>
  </conditionalFormatting>
  <conditionalFormatting sqref="C536">
    <cfRule type="duplicateValues" dxfId="252" priority="7673"/>
  </conditionalFormatting>
  <conditionalFormatting sqref="C537:C541">
    <cfRule type="duplicateValues" dxfId="251" priority="817"/>
    <cfRule type="duplicateValues" dxfId="250" priority="818"/>
    <cfRule type="duplicateValues" dxfId="249" priority="819"/>
    <cfRule type="duplicateValues" dxfId="248" priority="820"/>
    <cfRule type="duplicateValues" dxfId="247" priority="821"/>
    <cfRule type="duplicateValues" dxfId="246" priority="832"/>
    <cfRule type="duplicateValues" dxfId="245" priority="823"/>
    <cfRule type="duplicateValues" dxfId="244" priority="809"/>
    <cfRule type="duplicateValues" dxfId="243" priority="810"/>
    <cfRule type="duplicateValues" dxfId="242" priority="811"/>
    <cfRule type="duplicateValues" dxfId="241" priority="822"/>
    <cfRule type="duplicateValues" dxfId="240" priority="812"/>
    <cfRule type="duplicateValues" dxfId="239" priority="824"/>
    <cfRule type="duplicateValues" dxfId="238" priority="813"/>
    <cfRule type="duplicateValues" dxfId="237" priority="814"/>
    <cfRule type="duplicateValues" dxfId="236" priority="815"/>
    <cfRule type="duplicateValues" dxfId="235" priority="816"/>
    <cfRule type="duplicateValues" dxfId="234" priority="808"/>
    <cfRule type="duplicateValues" dxfId="233" priority="835"/>
    <cfRule type="duplicateValues" dxfId="232" priority="834"/>
    <cfRule type="duplicateValues" dxfId="231" priority="833"/>
    <cfRule type="duplicateValues" dxfId="230" priority="831"/>
    <cfRule type="duplicateValues" dxfId="229" priority="830"/>
    <cfRule type="duplicateValues" dxfId="228" priority="829"/>
    <cfRule type="duplicateValues" dxfId="227" priority="828"/>
    <cfRule type="duplicateValues" dxfId="226" priority="827"/>
    <cfRule type="duplicateValues" dxfId="225" priority="826"/>
    <cfRule type="duplicateValues" dxfId="224" priority="825"/>
    <cfRule type="duplicateValues" dxfId="223" priority="807"/>
  </conditionalFormatting>
  <conditionalFormatting sqref="C542:C543">
    <cfRule type="duplicateValues" dxfId="222" priority="1163"/>
    <cfRule type="duplicateValues" dxfId="221" priority="1164"/>
    <cfRule type="duplicateValues" dxfId="220" priority="1165"/>
    <cfRule type="duplicateValues" dxfId="219" priority="1166"/>
    <cfRule type="duplicateValues" dxfId="218" priority="1167"/>
  </conditionalFormatting>
  <conditionalFormatting sqref="C544">
    <cfRule type="duplicateValues" dxfId="217" priority="1030"/>
    <cfRule type="duplicateValues" dxfId="216" priority="1029"/>
    <cfRule type="duplicateValues" dxfId="215" priority="1028"/>
    <cfRule type="duplicateValues" dxfId="214" priority="1027"/>
    <cfRule type="duplicateValues" dxfId="213" priority="1026"/>
  </conditionalFormatting>
  <conditionalFormatting sqref="C546">
    <cfRule type="duplicateValues" dxfId="212" priority="1191"/>
  </conditionalFormatting>
  <conditionalFormatting sqref="C546:C551 C562:C567 C553:C556 C572:C573 C575:C576">
    <cfRule type="duplicateValues" dxfId="211" priority="1168"/>
  </conditionalFormatting>
  <conditionalFormatting sqref="C547 C573 C549:C550 C553:C555 C562 C575:C576">
    <cfRule type="duplicateValues" dxfId="210" priority="1344"/>
  </conditionalFormatting>
  <conditionalFormatting sqref="C547 C573 C549:C550 C553:C556 C562 C575:C576">
    <cfRule type="duplicateValues" dxfId="209" priority="1348"/>
  </conditionalFormatting>
  <conditionalFormatting sqref="C547">
    <cfRule type="duplicateValues" dxfId="208" priority="1337"/>
    <cfRule type="duplicateValues" dxfId="207" priority="1347"/>
  </conditionalFormatting>
  <conditionalFormatting sqref="C548">
    <cfRule type="duplicateValues" dxfId="206" priority="1190"/>
    <cfRule type="duplicateValues" dxfId="205" priority="1189"/>
  </conditionalFormatting>
  <conditionalFormatting sqref="C549">
    <cfRule type="duplicateValues" dxfId="204" priority="1304"/>
    <cfRule type="duplicateValues" dxfId="203" priority="1307"/>
    <cfRule type="duplicateValues" dxfId="202" priority="1305"/>
    <cfRule type="duplicateValues" dxfId="201" priority="1301"/>
    <cfRule type="duplicateValues" dxfId="200" priority="1303"/>
    <cfRule type="duplicateValues" dxfId="199" priority="1302"/>
    <cfRule type="duplicateValues" dxfId="198" priority="1306"/>
    <cfRule type="duplicateValues" dxfId="197" priority="1308"/>
    <cfRule type="duplicateValues" dxfId="196" priority="1295"/>
    <cfRule type="duplicateValues" dxfId="195" priority="1294"/>
    <cfRule type="duplicateValues" dxfId="194" priority="1297"/>
    <cfRule type="duplicateValues" dxfId="193" priority="1293"/>
    <cfRule type="duplicateValues" dxfId="192" priority="1296"/>
    <cfRule type="duplicateValues" dxfId="191" priority="1298"/>
    <cfRule type="duplicateValues" dxfId="190" priority="1299"/>
    <cfRule type="duplicateValues" dxfId="189" priority="1300"/>
  </conditionalFormatting>
  <conditionalFormatting sqref="C550 C547 C562">
    <cfRule type="duplicateValues" dxfId="188" priority="1339"/>
  </conditionalFormatting>
  <conditionalFormatting sqref="C550 C547">
    <cfRule type="duplicateValues" dxfId="187" priority="1338"/>
  </conditionalFormatting>
  <conditionalFormatting sqref="C550 C575 C547 C562">
    <cfRule type="duplicateValues" dxfId="186" priority="1340"/>
  </conditionalFormatting>
  <conditionalFormatting sqref="C551">
    <cfRule type="duplicateValues" dxfId="185" priority="1183"/>
    <cfRule type="duplicateValues" dxfId="184" priority="1173"/>
    <cfRule type="duplicateValues" dxfId="183" priority="1172"/>
    <cfRule type="duplicateValues" dxfId="182" priority="1171"/>
    <cfRule type="duplicateValues" dxfId="181" priority="1170"/>
    <cfRule type="duplicateValues" dxfId="180" priority="1182"/>
    <cfRule type="duplicateValues" dxfId="179" priority="1186"/>
    <cfRule type="duplicateValues" dxfId="178" priority="1174"/>
    <cfRule type="duplicateValues" dxfId="177" priority="1177"/>
    <cfRule type="duplicateValues" dxfId="176" priority="1178"/>
    <cfRule type="duplicateValues" dxfId="175" priority="1179"/>
    <cfRule type="duplicateValues" dxfId="174" priority="1180"/>
    <cfRule type="duplicateValues" dxfId="173" priority="1169"/>
    <cfRule type="duplicateValues" dxfId="172" priority="1175"/>
    <cfRule type="duplicateValues" dxfId="171" priority="1184"/>
    <cfRule type="duplicateValues" dxfId="170" priority="1187"/>
    <cfRule type="duplicateValues" dxfId="169" priority="1185"/>
    <cfRule type="duplicateValues" dxfId="168" priority="1181"/>
    <cfRule type="duplicateValues" dxfId="167" priority="1188"/>
    <cfRule type="duplicateValues" dxfId="166" priority="1176"/>
  </conditionalFormatting>
  <conditionalFormatting sqref="C552">
    <cfRule type="duplicateValues" dxfId="165" priority="367"/>
    <cfRule type="duplicateValues" dxfId="164" priority="368"/>
    <cfRule type="duplicateValues" dxfId="163" priority="366"/>
    <cfRule type="duplicateValues" dxfId="162" priority="365"/>
  </conditionalFormatting>
  <conditionalFormatting sqref="C553">
    <cfRule type="duplicateValues" dxfId="161" priority="1287"/>
    <cfRule type="duplicateValues" dxfId="160" priority="1292"/>
    <cfRule type="duplicateValues" dxfId="159" priority="1277"/>
    <cfRule type="duplicateValues" dxfId="158" priority="1278"/>
    <cfRule type="duplicateValues" dxfId="157" priority="1291"/>
    <cfRule type="duplicateValues" dxfId="156" priority="1280"/>
    <cfRule type="duplicateValues" dxfId="155" priority="1281"/>
    <cfRule type="duplicateValues" dxfId="154" priority="1282"/>
    <cfRule type="duplicateValues" dxfId="153" priority="1283"/>
    <cfRule type="duplicateValues" dxfId="152" priority="1284"/>
    <cfRule type="duplicateValues" dxfId="151" priority="1290"/>
    <cfRule type="duplicateValues" dxfId="150" priority="1289"/>
    <cfRule type="duplicateValues" dxfId="149" priority="1288"/>
    <cfRule type="duplicateValues" dxfId="148" priority="1279"/>
    <cfRule type="duplicateValues" dxfId="147" priority="1285"/>
    <cfRule type="duplicateValues" dxfId="146" priority="1286"/>
  </conditionalFormatting>
  <conditionalFormatting sqref="C554:C555 C550 C575:C576 C547 C562">
    <cfRule type="duplicateValues" dxfId="145" priority="1343"/>
  </conditionalFormatting>
  <conditionalFormatting sqref="C554:C555">
    <cfRule type="duplicateValues" dxfId="144" priority="1325"/>
    <cfRule type="duplicateValues" dxfId="143" priority="1324"/>
    <cfRule type="duplicateValues" dxfId="142" priority="1317"/>
    <cfRule type="duplicateValues" dxfId="141" priority="1326"/>
    <cfRule type="duplicateValues" dxfId="140" priority="1316"/>
    <cfRule type="duplicateValues" dxfId="139" priority="1320"/>
    <cfRule type="duplicateValues" dxfId="138" priority="1319"/>
    <cfRule type="duplicateValues" dxfId="137" priority="1313"/>
    <cfRule type="duplicateValues" dxfId="136" priority="1318"/>
    <cfRule type="duplicateValues" dxfId="135" priority="1314"/>
    <cfRule type="duplicateValues" dxfId="134" priority="1323"/>
    <cfRule type="duplicateValues" dxfId="133" priority="1322"/>
    <cfRule type="duplicateValues" dxfId="132" priority="1327"/>
    <cfRule type="duplicateValues" dxfId="131" priority="1321"/>
    <cfRule type="duplicateValues" dxfId="130" priority="1315"/>
  </conditionalFormatting>
  <conditionalFormatting sqref="C556">
    <cfRule type="duplicateValues" dxfId="129" priority="1234"/>
    <cfRule type="duplicateValues" dxfId="128" priority="1245"/>
    <cfRule type="duplicateValues" dxfId="127" priority="1246"/>
    <cfRule type="duplicateValues" dxfId="126" priority="1247"/>
    <cfRule type="duplicateValues" dxfId="125" priority="1248"/>
    <cfRule type="duplicateValues" dxfId="124" priority="1241"/>
    <cfRule type="duplicateValues" dxfId="123" priority="1240"/>
    <cfRule type="duplicateValues" dxfId="122" priority="1233"/>
    <cfRule type="duplicateValues" dxfId="121" priority="1251"/>
    <cfRule type="duplicateValues" dxfId="120" priority="1250"/>
    <cfRule type="duplicateValues" dxfId="119" priority="1232"/>
    <cfRule type="duplicateValues" dxfId="118" priority="1242"/>
    <cfRule type="duplicateValues" dxfId="117" priority="1238"/>
    <cfRule type="duplicateValues" dxfId="116" priority="1235"/>
    <cfRule type="duplicateValues" dxfId="115" priority="1236"/>
    <cfRule type="duplicateValues" dxfId="114" priority="1237"/>
    <cfRule type="duplicateValues" dxfId="113" priority="1249"/>
    <cfRule type="duplicateValues" dxfId="112" priority="1239"/>
    <cfRule type="duplicateValues" dxfId="111" priority="1243"/>
    <cfRule type="duplicateValues" dxfId="110" priority="1244"/>
  </conditionalFormatting>
  <conditionalFormatting sqref="C557:C558">
    <cfRule type="duplicateValues" dxfId="109" priority="498"/>
  </conditionalFormatting>
  <conditionalFormatting sqref="C559:C561">
    <cfRule type="duplicateValues" dxfId="108" priority="664"/>
  </conditionalFormatting>
  <conditionalFormatting sqref="C562">
    <cfRule type="duplicateValues" dxfId="107" priority="1341"/>
  </conditionalFormatting>
  <conditionalFormatting sqref="C563:C565">
    <cfRule type="duplicateValues" dxfId="106" priority="1225"/>
    <cfRule type="duplicateValues" dxfId="105" priority="1226"/>
    <cfRule type="duplicateValues" dxfId="104" priority="1227"/>
    <cfRule type="duplicateValues" dxfId="103" priority="1228"/>
    <cfRule type="duplicateValues" dxfId="102" priority="1219"/>
    <cfRule type="duplicateValues" dxfId="101" priority="1230"/>
    <cfRule type="duplicateValues" dxfId="100" priority="1223"/>
    <cfRule type="duplicateValues" dxfId="99" priority="1222"/>
    <cfRule type="duplicateValues" dxfId="98" priority="1221"/>
    <cfRule type="duplicateValues" dxfId="97" priority="1224"/>
    <cfRule type="duplicateValues" dxfId="96" priority="1220"/>
    <cfRule type="duplicateValues" dxfId="95" priority="1229"/>
    <cfRule type="duplicateValues" dxfId="94" priority="1231"/>
  </conditionalFormatting>
  <conditionalFormatting sqref="C566">
    <cfRule type="duplicateValues" dxfId="93" priority="1204"/>
  </conditionalFormatting>
  <conditionalFormatting sqref="C567 C573 C547 C549:C550 C553:C556 C562:C565 C575:C576">
    <cfRule type="duplicateValues" dxfId="92" priority="1356"/>
  </conditionalFormatting>
  <conditionalFormatting sqref="C567">
    <cfRule type="duplicateValues" dxfId="91" priority="1212"/>
    <cfRule type="duplicateValues" dxfId="90" priority="1211"/>
    <cfRule type="duplicateValues" dxfId="89" priority="1210"/>
    <cfRule type="duplicateValues" dxfId="88" priority="1209"/>
  </conditionalFormatting>
  <conditionalFormatting sqref="C568:C571">
    <cfRule type="duplicateValues" dxfId="87" priority="311"/>
    <cfRule type="duplicateValues" dxfId="86" priority="310"/>
    <cfRule type="duplicateValues" dxfId="85" priority="312"/>
    <cfRule type="duplicateValues" dxfId="84" priority="309"/>
    <cfRule type="duplicateValues" dxfId="83" priority="313"/>
  </conditionalFormatting>
  <conditionalFormatting sqref="C572">
    <cfRule type="duplicateValues" dxfId="82" priority="1197"/>
    <cfRule type="duplicateValues" dxfId="81" priority="1196"/>
    <cfRule type="duplicateValues" dxfId="80" priority="1195"/>
    <cfRule type="duplicateValues" dxfId="79" priority="1193"/>
    <cfRule type="duplicateValues" dxfId="78" priority="1199"/>
    <cfRule type="duplicateValues" dxfId="77" priority="1192"/>
    <cfRule type="duplicateValues" dxfId="76" priority="1194"/>
    <cfRule type="duplicateValues" dxfId="75" priority="1198"/>
  </conditionalFormatting>
  <conditionalFormatting sqref="C573 C547 C549:C550 C553:C556 C562:C565 C575:C576">
    <cfRule type="duplicateValues" dxfId="74" priority="1354"/>
    <cfRule type="duplicateValues" dxfId="73" priority="1353"/>
    <cfRule type="duplicateValues" dxfId="72" priority="1351"/>
  </conditionalFormatting>
  <conditionalFormatting sqref="C573">
    <cfRule type="duplicateValues" dxfId="71" priority="1355"/>
    <cfRule type="duplicateValues" dxfId="70" priority="1275"/>
    <cfRule type="duplicateValues" dxfId="69" priority="1276"/>
    <cfRule type="duplicateValues" dxfId="68" priority="1272"/>
    <cfRule type="duplicateValues" dxfId="67" priority="1273"/>
    <cfRule type="duplicateValues" dxfId="66" priority="1274"/>
  </conditionalFormatting>
  <conditionalFormatting sqref="C574">
    <cfRule type="duplicateValues" dxfId="65" priority="265"/>
    <cfRule type="duplicateValues" dxfId="64" priority="266"/>
    <cfRule type="duplicateValues" dxfId="63" priority="267"/>
  </conditionalFormatting>
  <conditionalFormatting sqref="C576">
    <cfRule type="duplicateValues" dxfId="62" priority="1309"/>
    <cfRule type="duplicateValues" dxfId="61" priority="1312"/>
    <cfRule type="duplicateValues" dxfId="60" priority="1311"/>
    <cfRule type="duplicateValues" dxfId="59" priority="1310"/>
  </conditionalFormatting>
  <conditionalFormatting sqref="C577">
    <cfRule type="duplicateValues" dxfId="58" priority="1138"/>
    <cfRule type="duplicateValues" dxfId="57" priority="1139"/>
    <cfRule type="duplicateValues" dxfId="56" priority="1141"/>
    <cfRule type="duplicateValues" dxfId="55" priority="1140"/>
  </conditionalFormatting>
  <conditionalFormatting sqref="C578:C1048576 C1:C4 C12:C14 C525 C504 C529:C530 C501 C84 C494:C495 C86:C89 C535:C536 C75 C77:C79 C22:C23 C125:C128 C58 C108 C10 C130:C132 C118 C63:C64 C91:C102 C121 C27 C136 C138 C81 C36 C143:C144 C497:C498 C38 C6 C45:C47 C42:C43 C50:C52 C54">
    <cfRule type="duplicateValues" dxfId="54" priority="3539"/>
  </conditionalFormatting>
  <conditionalFormatting sqref="C578:C1048576 C1:C4 C478 C535:C536 C75 C67 C508:C510 C36 C22:C23 C494:C495 C143:C144 C115 C515 C522:C525 C58 C500:C502 C108 C61 C135:C136 C27 C529:C530 C77:C102 C12:C14 C117:C119 C497:C498 C138 C38 C121 C130:C132 C6 C45:C47 C71:C72 C504 C42:C43 C517:C518 C482 C10 C50:C52 C485:C487 C63:C64 C54 C124:C128">
    <cfRule type="duplicateValues" dxfId="53" priority="2036"/>
  </conditionalFormatting>
  <conditionalFormatting sqref="C578:C1048576 C494:C495 C1:C4 C64 C58 C99:C102 C93:C95 C126 C501 C504 C86:C89 C530 C54 C36 C525 C144 C130:C131 C138 C128 C22 C78 C535:C536 C497:C498 C38 C6">
    <cfRule type="duplicateValues" dxfId="52" priority="6057"/>
  </conditionalFormatting>
  <conditionalFormatting sqref="C578:C1048576 C501 C1:C4 C22:C23 C51:C52 C78 C12 C494:C495 C46:C47 C81 C535:C536 C64 C75 C525 C504 C529:C530 C84 C86:C89 C125:C128 C58 C10 C130:C132 C118 C91:C102 C121 C136 C138 C36 C143:C144 C497:C498 C38 C6 C42:C43 C54">
    <cfRule type="duplicateValues" dxfId="51" priority="4317"/>
  </conditionalFormatting>
  <conditionalFormatting sqref="C578:C1048576 C504 C1:C4 C130:C132 C115 C84:C102 C501 C61 C63:C64 C124:C128 C517:C518 C81 C529:C530 C75 C478 C535:C536 C67 C508:C510 C36 C22:C23 C494:C495 C143:C144 C522:C525 C58 C108 C135:C136 C27 C77:C79 C12:C14 C117:C119 C497:C498 C138 C38 C121 C6 C45:C47 C42:C43 C482 C10 C50:C52 C485:C487 C54">
    <cfRule type="duplicateValues" dxfId="50" priority="2222"/>
  </conditionalFormatting>
  <conditionalFormatting sqref="C578:C1048576 C525 C1:C4 C99:C102 C144 C125:C126 C130:C132 C138 C91:C95 C64 C54 C47 C58 C501 C494:C495 C75 C86:C89 C128 C22 C51 C78 C81 C535:C536 C504 C529:C530 C84 C36 C497:C498 C38 C6">
    <cfRule type="duplicateValues" dxfId="49" priority="5459"/>
  </conditionalFormatting>
  <conditionalFormatting sqref="C578:C1048576 C525 C1:C4 C504 C529:C530 C501 C84 C494:C495 C86:C89 C535:C536 C75 C77:C79 C22:C23 C125:C128 C58 C108 C10 C130:C132 C118 C63:C64 C91:C102 C121 C27 C136 C138 C81 C36 C143:C144 C12:C14 C497:C498 C38 C6 C45:C47 C42:C43 C50:C52 C54">
    <cfRule type="duplicateValues" dxfId="48" priority="3492"/>
  </conditionalFormatting>
  <conditionalFormatting sqref="C578:C1048576 C525 C495 C1:C4 C54 C99:C102 C138 C64 C144 C58 C93:C95 C126 C501 C504 C86:C89 C530 C130 C128 C22 C78 C535:C536 C497:C498">
    <cfRule type="duplicateValues" dxfId="47" priority="6370"/>
  </conditionalFormatting>
  <conditionalFormatting sqref="C578:C1048576 C525 C495 C1:C4 C501 C504 C54 C99:C102 C138 C64 C144 C58 C93:C95 C126 C86:C89 C530 C130 C128 C22 C78 C535:C536 C497:C498">
    <cfRule type="duplicateValues" dxfId="46" priority="6444"/>
  </conditionalFormatting>
  <conditionalFormatting sqref="C578:C1048576 C530 C125:C126 C1:C4 C84 C494:C495 C54 C36 C525 C99:C102 C144 C130:C132 C138 C91:C95 C64 C58 C501 C75 C86:C89 C128 C22 C78 C81 C535:C536 C504 C497:C498 C38 C6">
    <cfRule type="duplicateValues" dxfId="45" priority="5743"/>
  </conditionalFormatting>
  <conditionalFormatting sqref="C578:C1048576 C530 C494:C495 C1:C4 C58 C99:C102 C93:C95 C126 C501 C504 C86:C89 C54 C36 C525 C144 C130:C131 C138 C64 C128 C22 C78 C535:C536 C497:C498 C38 C6">
    <cfRule type="duplicateValues" dxfId="44" priority="5984"/>
  </conditionalFormatting>
  <conditionalFormatting sqref="C578:C1048576 C536 C1:C3 C54 C22 C144 C101 C495">
    <cfRule type="duplicateValues" dxfId="43" priority="7333"/>
  </conditionalFormatting>
  <conditionalFormatting sqref="C578:C1048576 C536 C1:C3 C54 C144 C22 C101 C495">
    <cfRule type="duplicateValues" dxfId="42" priority="7155"/>
  </conditionalFormatting>
  <conditionalFormatting sqref="C578:C1048576">
    <cfRule type="duplicateValues" dxfId="41" priority="2001"/>
  </conditionalFormatting>
  <conditionalFormatting sqref="C614">
    <cfRule type="duplicateValues" dxfId="40" priority="8204"/>
  </conditionalFormatting>
  <conditionalFormatting sqref="C616">
    <cfRule type="duplicateValues" dxfId="39" priority="8199"/>
  </conditionalFormatting>
  <conditionalFormatting sqref="C616:C625">
    <cfRule type="duplicateValues" dxfId="38" priority="8195"/>
  </conditionalFormatting>
  <conditionalFormatting sqref="C618">
    <cfRule type="duplicateValues" dxfId="37" priority="8197"/>
  </conditionalFormatting>
  <conditionalFormatting sqref="C836">
    <cfRule type="duplicateValues" dxfId="36" priority="8208"/>
  </conditionalFormatting>
  <conditionalFormatting sqref="C857">
    <cfRule type="duplicateValues" dxfId="35" priority="8205"/>
  </conditionalFormatting>
  <conditionalFormatting sqref="C984">
    <cfRule type="duplicateValues" dxfId="34" priority="8201"/>
  </conditionalFormatting>
  <conditionalFormatting sqref="E383">
    <cfRule type="duplicateValues" dxfId="33" priority="510"/>
    <cfRule type="duplicateValues" dxfId="32" priority="513"/>
    <cfRule type="duplicateValues" dxfId="31" priority="512"/>
    <cfRule type="duplicateValues" dxfId="30" priority="511"/>
  </conditionalFormatting>
  <conditionalFormatting sqref="F107">
    <cfRule type="duplicateValues" dxfId="29" priority="1120"/>
    <cfRule type="duplicateValues" dxfId="28" priority="1119"/>
    <cfRule type="duplicateValues" dxfId="27" priority="1118"/>
    <cfRule type="duplicateValues" dxfId="26" priority="1112"/>
    <cfRule type="duplicateValues" dxfId="25" priority="1117"/>
    <cfRule type="duplicateValues" dxfId="24" priority="1116"/>
    <cfRule type="duplicateValues" dxfId="23" priority="1107"/>
    <cfRule type="duplicateValues" dxfId="22" priority="1108"/>
    <cfRule type="duplicateValues" dxfId="21" priority="1109"/>
    <cfRule type="duplicateValues" dxfId="20" priority="1110"/>
    <cfRule type="duplicateValues" dxfId="19" priority="1111"/>
    <cfRule type="duplicateValues" dxfId="18" priority="1115"/>
    <cfRule type="duplicateValues" dxfId="17" priority="1113"/>
    <cfRule type="duplicateValues" dxfId="16" priority="1114"/>
  </conditionalFormatting>
  <conditionalFormatting sqref="P822:Q840 P1005:Q1009">
    <cfRule type="cellIs" dxfId="15" priority="8209" operator="lessThan">
      <formula>0</formula>
    </cfRule>
  </conditionalFormatting>
  <conditionalFormatting sqref="AD182">
    <cfRule type="duplicateValues" dxfId="14" priority="2892"/>
    <cfRule type="duplicateValues" dxfId="13" priority="2891"/>
    <cfRule type="duplicateValues" dxfId="12" priority="2890"/>
    <cfRule type="duplicateValues" dxfId="11" priority="2889"/>
    <cfRule type="duplicateValues" dxfId="10" priority="2888"/>
    <cfRule type="duplicateValues" dxfId="9" priority="2887"/>
    <cfRule type="duplicateValues" dxfId="8" priority="2886"/>
    <cfRule type="duplicateValues" dxfId="7" priority="2885"/>
    <cfRule type="duplicateValues" dxfId="6" priority="2894"/>
    <cfRule type="duplicateValues" dxfId="5" priority="2893"/>
  </conditionalFormatting>
  <conditionalFormatting sqref="AG540">
    <cfRule type="duplicateValues" dxfId="4" priority="3649"/>
    <cfRule type="duplicateValues" dxfId="3" priority="3653"/>
    <cfRule type="duplicateValues" dxfId="2" priority="3652"/>
    <cfRule type="duplicateValues" dxfId="1" priority="3651"/>
    <cfRule type="duplicateValues" dxfId="0" priority="3650"/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OEM</vt:lpstr>
      <vt:lpstr>OEM DESP</vt:lpstr>
      <vt:lpstr>summary march,13 (2)</vt:lpstr>
      <vt:lpstr>Summary </vt:lpstr>
      <vt:lpstr>Excise Dispatch </vt:lpstr>
      <vt:lpstr>SMT KIT Rcvd </vt:lpstr>
      <vt:lpstr>MI RECVD DRIVER</vt:lpstr>
      <vt:lpstr>SMTL2 PCV rcvd</vt:lpstr>
      <vt:lpstr>Sheet1</vt:lpstr>
      <vt:lpstr>PACK Prod</vt:lpstr>
      <vt:lpstr>'Summary 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Kirti Lakra</cp:lastModifiedBy>
  <cp:lastPrinted>2025-03-22T12:46:02Z</cp:lastPrinted>
  <dcterms:created xsi:type="dcterms:W3CDTF">2003-12-31T05:04:23Z</dcterms:created>
  <dcterms:modified xsi:type="dcterms:W3CDTF">2025-05-08T10:50:10Z</dcterms:modified>
</cp:coreProperties>
</file>