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oc.nvvnupl09\OneDrive - ntpc.co.in\WASTE TO ENERGY\NTPC\WTE\NEWS\"/>
    </mc:Choice>
  </mc:AlternateContent>
  <bookViews>
    <workbookView xWindow="0" yWindow="0" windowWidth="28800" windowHeight="11610" activeTab="4"/>
  </bookViews>
  <sheets>
    <sheet name="Varanasi_EPC Package_SC" sheetId="6" r:id="rId1"/>
    <sheet name="Bhopal_EPC Package_SC" sheetId="5" r:id="rId2"/>
    <sheet name="Hubballi_EPC Package_SC" sheetId="3" r:id="rId3"/>
    <sheet name="Noida_EPC Package_SC" sheetId="1" r:id="rId4"/>
    <sheet name="Gorakhpur_EPC Package_SC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0" i="6" l="1"/>
  <c r="K180" i="6" s="1"/>
  <c r="M180" i="6" s="1"/>
  <c r="F180" i="6"/>
  <c r="K179" i="6"/>
  <c r="J179" i="6"/>
  <c r="O179" i="6" s="1"/>
  <c r="F179" i="6"/>
  <c r="K178" i="6"/>
  <c r="M178" i="6" s="1"/>
  <c r="J178" i="6"/>
  <c r="O178" i="6" s="1"/>
  <c r="H178" i="6"/>
  <c r="F178" i="6"/>
  <c r="G178" i="6" s="1"/>
  <c r="I175" i="6"/>
  <c r="J175" i="6" s="1"/>
  <c r="O175" i="6" s="1"/>
  <c r="F175" i="6"/>
  <c r="I174" i="6"/>
  <c r="J174" i="6" s="1"/>
  <c r="O174" i="6" s="1"/>
  <c r="F174" i="6"/>
  <c r="I173" i="6"/>
  <c r="J173" i="6" s="1"/>
  <c r="O173" i="6" s="1"/>
  <c r="G173" i="6"/>
  <c r="H173" i="6" s="1"/>
  <c r="F173" i="6"/>
  <c r="I172" i="6"/>
  <c r="K172" i="6" s="1"/>
  <c r="M172" i="6" s="1"/>
  <c r="F172" i="6"/>
  <c r="I171" i="6"/>
  <c r="K171" i="6" s="1"/>
  <c r="F171" i="6"/>
  <c r="I170" i="6"/>
  <c r="F170" i="6"/>
  <c r="G170" i="6" s="1"/>
  <c r="H170" i="6" s="1"/>
  <c r="K169" i="6"/>
  <c r="M169" i="6" s="1"/>
  <c r="I169" i="6"/>
  <c r="J169" i="6" s="1"/>
  <c r="O169" i="6" s="1"/>
  <c r="F169" i="6"/>
  <c r="I168" i="6"/>
  <c r="K168" i="6" s="1"/>
  <c r="F168" i="6"/>
  <c r="I167" i="6"/>
  <c r="K167" i="6" s="1"/>
  <c r="F167" i="6"/>
  <c r="I166" i="6"/>
  <c r="K166" i="6" s="1"/>
  <c r="M166" i="6" s="1"/>
  <c r="F166" i="6"/>
  <c r="G166" i="6" s="1"/>
  <c r="H166" i="6" s="1"/>
  <c r="I165" i="6"/>
  <c r="K165" i="6" s="1"/>
  <c r="F165" i="6"/>
  <c r="I163" i="6"/>
  <c r="F163" i="6"/>
  <c r="K162" i="6"/>
  <c r="M162" i="6" s="1"/>
  <c r="J162" i="6"/>
  <c r="O162" i="6" s="1"/>
  <c r="I162" i="6"/>
  <c r="F162" i="6"/>
  <c r="I161" i="6"/>
  <c r="J161" i="6" s="1"/>
  <c r="O161" i="6" s="1"/>
  <c r="F161" i="6"/>
  <c r="I160" i="6"/>
  <c r="K160" i="6" s="1"/>
  <c r="G160" i="6"/>
  <c r="H160" i="6" s="1"/>
  <c r="F160" i="6"/>
  <c r="I159" i="6"/>
  <c r="J159" i="6" s="1"/>
  <c r="O159" i="6" s="1"/>
  <c r="F159" i="6"/>
  <c r="G159" i="6" s="1"/>
  <c r="H159" i="6" s="1"/>
  <c r="I158" i="6"/>
  <c r="J158" i="6" s="1"/>
  <c r="O158" i="6" s="1"/>
  <c r="F158" i="6"/>
  <c r="I157" i="6"/>
  <c r="F157" i="6"/>
  <c r="I156" i="6"/>
  <c r="K156" i="6" s="1"/>
  <c r="F156" i="6"/>
  <c r="G156" i="6" s="1"/>
  <c r="I155" i="6"/>
  <c r="K155" i="6" s="1"/>
  <c r="L155" i="6" s="1"/>
  <c r="F155" i="6"/>
  <c r="K154" i="6"/>
  <c r="M154" i="6" s="1"/>
  <c r="J154" i="6"/>
  <c r="O154" i="6" s="1"/>
  <c r="I154" i="6"/>
  <c r="F154" i="6"/>
  <c r="I153" i="6"/>
  <c r="K153" i="6" s="1"/>
  <c r="F153" i="6"/>
  <c r="O152" i="6"/>
  <c r="K152" i="6"/>
  <c r="I150" i="6"/>
  <c r="K150" i="6" s="1"/>
  <c r="M150" i="6" s="1"/>
  <c r="F150" i="6"/>
  <c r="I149" i="6"/>
  <c r="F149" i="6"/>
  <c r="I148" i="6"/>
  <c r="K148" i="6" s="1"/>
  <c r="F148" i="6"/>
  <c r="G148" i="6" s="1"/>
  <c r="I147" i="6"/>
  <c r="F147" i="6"/>
  <c r="I145" i="6"/>
  <c r="K145" i="6" s="1"/>
  <c r="L145" i="6" s="1"/>
  <c r="F145" i="6"/>
  <c r="G145" i="6" s="1"/>
  <c r="H145" i="6" s="1"/>
  <c r="I144" i="6"/>
  <c r="K144" i="6" s="1"/>
  <c r="F144" i="6"/>
  <c r="I143" i="6"/>
  <c r="F143" i="6"/>
  <c r="G143" i="6" s="1"/>
  <c r="H143" i="6" s="1"/>
  <c r="I142" i="6"/>
  <c r="F142" i="6"/>
  <c r="I141" i="6"/>
  <c r="K141" i="6" s="1"/>
  <c r="M141" i="6" s="1"/>
  <c r="F141" i="6"/>
  <c r="G141" i="6" s="1"/>
  <c r="I140" i="6"/>
  <c r="F140" i="6"/>
  <c r="I139" i="6"/>
  <c r="K139" i="6" s="1"/>
  <c r="L139" i="6" s="1"/>
  <c r="F139" i="6"/>
  <c r="G139" i="6" s="1"/>
  <c r="H139" i="6" s="1"/>
  <c r="K138" i="6"/>
  <c r="L138" i="6" s="1"/>
  <c r="J138" i="6"/>
  <c r="O138" i="6" s="1"/>
  <c r="I138" i="6"/>
  <c r="F138" i="6"/>
  <c r="I136" i="6"/>
  <c r="F136" i="6"/>
  <c r="G136" i="6" s="1"/>
  <c r="H136" i="6" s="1"/>
  <c r="K133" i="6"/>
  <c r="L133" i="6" s="1"/>
  <c r="J133" i="6"/>
  <c r="O133" i="6" s="1"/>
  <c r="F133" i="6"/>
  <c r="G133" i="6" s="1"/>
  <c r="K132" i="6"/>
  <c r="J132" i="6"/>
  <c r="O132" i="6" s="1"/>
  <c r="H132" i="6"/>
  <c r="F132" i="6"/>
  <c r="G132" i="6" s="1"/>
  <c r="I131" i="6"/>
  <c r="K131" i="6" s="1"/>
  <c r="M131" i="6" s="1"/>
  <c r="F131" i="6"/>
  <c r="K130" i="6"/>
  <c r="M130" i="6" s="1"/>
  <c r="J130" i="6"/>
  <c r="O130" i="6" s="1"/>
  <c r="F130" i="6"/>
  <c r="K129" i="6"/>
  <c r="M129" i="6" s="1"/>
  <c r="I129" i="6"/>
  <c r="J129" i="6" s="1"/>
  <c r="O129" i="6" s="1"/>
  <c r="F129" i="6"/>
  <c r="G129" i="6" s="1"/>
  <c r="H129" i="6" s="1"/>
  <c r="O128" i="6"/>
  <c r="K128" i="6"/>
  <c r="M128" i="6" s="1"/>
  <c r="O127" i="6"/>
  <c r="K127" i="6"/>
  <c r="L127" i="6" s="1"/>
  <c r="J127" i="6"/>
  <c r="I127" i="6"/>
  <c r="F127" i="6"/>
  <c r="O126" i="6"/>
  <c r="K126" i="6"/>
  <c r="L126" i="6" s="1"/>
  <c r="I125" i="6"/>
  <c r="F125" i="6"/>
  <c r="G125" i="6" s="1"/>
  <c r="H125" i="6" s="1"/>
  <c r="K124" i="6"/>
  <c r="L124" i="6" s="1"/>
  <c r="J124" i="6"/>
  <c r="O124" i="6" s="1"/>
  <c r="I124" i="6"/>
  <c r="F124" i="6"/>
  <c r="O123" i="6"/>
  <c r="K123" i="6"/>
  <c r="I122" i="6"/>
  <c r="K122" i="6" s="1"/>
  <c r="F122" i="6"/>
  <c r="G122" i="6" s="1"/>
  <c r="H122" i="6" s="1"/>
  <c r="I121" i="6"/>
  <c r="K121" i="6" s="1"/>
  <c r="F121" i="6"/>
  <c r="G121" i="6" s="1"/>
  <c r="K120" i="6"/>
  <c r="L120" i="6" s="1"/>
  <c r="I120" i="6"/>
  <c r="J120" i="6" s="1"/>
  <c r="O120" i="6" s="1"/>
  <c r="F120" i="6"/>
  <c r="I119" i="6"/>
  <c r="K119" i="6" s="1"/>
  <c r="M119" i="6" s="1"/>
  <c r="F119" i="6"/>
  <c r="G119" i="6" s="1"/>
  <c r="O118" i="6"/>
  <c r="K118" i="6"/>
  <c r="M118" i="6" s="1"/>
  <c r="K117" i="6"/>
  <c r="L117" i="6" s="1"/>
  <c r="I117" i="6"/>
  <c r="J117" i="6" s="1"/>
  <c r="O117" i="6" s="1"/>
  <c r="F117" i="6"/>
  <c r="G117" i="6" s="1"/>
  <c r="I116" i="6"/>
  <c r="J116" i="6" s="1"/>
  <c r="O116" i="6" s="1"/>
  <c r="F116" i="6"/>
  <c r="O115" i="6"/>
  <c r="K115" i="6"/>
  <c r="L115" i="6" s="1"/>
  <c r="O113" i="6"/>
  <c r="M113" i="6"/>
  <c r="K113" i="6"/>
  <c r="L113" i="6" s="1"/>
  <c r="N113" i="6" s="1"/>
  <c r="J113" i="6"/>
  <c r="F113" i="6"/>
  <c r="G113" i="6" s="1"/>
  <c r="I112" i="6"/>
  <c r="J112" i="6" s="1"/>
  <c r="O112" i="6" s="1"/>
  <c r="F112" i="6"/>
  <c r="K111" i="6"/>
  <c r="M111" i="6" s="1"/>
  <c r="I111" i="6"/>
  <c r="J111" i="6" s="1"/>
  <c r="O111" i="6" s="1"/>
  <c r="F111" i="6"/>
  <c r="G111" i="6" s="1"/>
  <c r="H111" i="6" s="1"/>
  <c r="I110" i="6"/>
  <c r="J110" i="6" s="1"/>
  <c r="O110" i="6" s="1"/>
  <c r="F110" i="6"/>
  <c r="I108" i="6"/>
  <c r="F108" i="6"/>
  <c r="G108" i="6" s="1"/>
  <c r="I107" i="6"/>
  <c r="F107" i="6"/>
  <c r="G107" i="6" s="1"/>
  <c r="H107" i="6" s="1"/>
  <c r="I104" i="6"/>
  <c r="J104" i="6" s="1"/>
  <c r="O104" i="6" s="1"/>
  <c r="F104" i="6"/>
  <c r="I103" i="6"/>
  <c r="J103" i="6" s="1"/>
  <c r="O103" i="6" s="1"/>
  <c r="F103" i="6"/>
  <c r="K102" i="6"/>
  <c r="M102" i="6" s="1"/>
  <c r="J102" i="6"/>
  <c r="O102" i="6" s="1"/>
  <c r="I102" i="6"/>
  <c r="G102" i="6"/>
  <c r="H102" i="6" s="1"/>
  <c r="F102" i="6"/>
  <c r="I101" i="6"/>
  <c r="K101" i="6" s="1"/>
  <c r="F101" i="6"/>
  <c r="I100" i="6"/>
  <c r="K100" i="6" s="1"/>
  <c r="F100" i="6"/>
  <c r="O99" i="6"/>
  <c r="I98" i="6"/>
  <c r="K98" i="6" s="1"/>
  <c r="F98" i="6"/>
  <c r="I95" i="6"/>
  <c r="K95" i="6" s="1"/>
  <c r="L95" i="6" s="1"/>
  <c r="F95" i="6"/>
  <c r="G95" i="6" s="1"/>
  <c r="H95" i="6" s="1"/>
  <c r="I94" i="6"/>
  <c r="J94" i="6" s="1"/>
  <c r="O94" i="6" s="1"/>
  <c r="F94" i="6"/>
  <c r="I93" i="6"/>
  <c r="J93" i="6" s="1"/>
  <c r="O93" i="6" s="1"/>
  <c r="F93" i="6"/>
  <c r="G93" i="6" s="1"/>
  <c r="H93" i="6" s="1"/>
  <c r="I92" i="6"/>
  <c r="G92" i="6"/>
  <c r="H92" i="6" s="1"/>
  <c r="F92" i="6"/>
  <c r="I91" i="6"/>
  <c r="K91" i="6" s="1"/>
  <c r="F91" i="6"/>
  <c r="I89" i="6"/>
  <c r="K89" i="6" s="1"/>
  <c r="F89" i="6"/>
  <c r="J88" i="6"/>
  <c r="O88" i="6" s="1"/>
  <c r="J87" i="6"/>
  <c r="O87" i="6" s="1"/>
  <c r="I86" i="6"/>
  <c r="F86" i="6"/>
  <c r="G86" i="6" s="1"/>
  <c r="H86" i="6" s="1"/>
  <c r="I85" i="6"/>
  <c r="F85" i="6"/>
  <c r="G85" i="6" s="1"/>
  <c r="I84" i="6"/>
  <c r="K84" i="6" s="1"/>
  <c r="L84" i="6" s="1"/>
  <c r="F84" i="6"/>
  <c r="G84" i="6" s="1"/>
  <c r="H84" i="6" s="1"/>
  <c r="I83" i="6"/>
  <c r="K83" i="6" s="1"/>
  <c r="F83" i="6"/>
  <c r="I82" i="6"/>
  <c r="K82" i="6" s="1"/>
  <c r="F82" i="6"/>
  <c r="J81" i="6"/>
  <c r="O81" i="6" s="1"/>
  <c r="I80" i="6"/>
  <c r="K80" i="6" s="1"/>
  <c r="L80" i="6" s="1"/>
  <c r="F80" i="6"/>
  <c r="G80" i="6" s="1"/>
  <c r="H80" i="6" s="1"/>
  <c r="J79" i="6"/>
  <c r="O79" i="6" s="1"/>
  <c r="J78" i="6"/>
  <c r="O78" i="6" s="1"/>
  <c r="I77" i="6"/>
  <c r="K77" i="6" s="1"/>
  <c r="F77" i="6"/>
  <c r="I76" i="6"/>
  <c r="F76" i="6"/>
  <c r="G76" i="6" s="1"/>
  <c r="H76" i="6" s="1"/>
  <c r="K75" i="6"/>
  <c r="M75" i="6" s="1"/>
  <c r="I75" i="6"/>
  <c r="J75" i="6" s="1"/>
  <c r="O75" i="6" s="1"/>
  <c r="F75" i="6"/>
  <c r="I74" i="6"/>
  <c r="K74" i="6" s="1"/>
  <c r="M74" i="6" s="1"/>
  <c r="F74" i="6"/>
  <c r="I73" i="6"/>
  <c r="K73" i="6" s="1"/>
  <c r="F73" i="6"/>
  <c r="J72" i="6"/>
  <c r="O72" i="6" s="1"/>
  <c r="K71" i="6"/>
  <c r="M71" i="6" s="1"/>
  <c r="J71" i="6"/>
  <c r="O71" i="6" s="1"/>
  <c r="F71" i="6"/>
  <c r="G71" i="6" s="1"/>
  <c r="H71" i="6" s="1"/>
  <c r="J70" i="6"/>
  <c r="O70" i="6" s="1"/>
  <c r="J69" i="6"/>
  <c r="O69" i="6" s="1"/>
  <c r="I68" i="6"/>
  <c r="K68" i="6" s="1"/>
  <c r="F68" i="6"/>
  <c r="I67" i="6"/>
  <c r="F67" i="6"/>
  <c r="G67" i="6" s="1"/>
  <c r="H67" i="6" s="1"/>
  <c r="O66" i="6"/>
  <c r="M66" i="6"/>
  <c r="K66" i="6"/>
  <c r="L66" i="6" s="1"/>
  <c r="I66" i="6"/>
  <c r="J66" i="6" s="1"/>
  <c r="F66" i="6"/>
  <c r="G66" i="6" s="1"/>
  <c r="I65" i="6"/>
  <c r="F65" i="6"/>
  <c r="G65" i="6" s="1"/>
  <c r="I64" i="6"/>
  <c r="K64" i="6" s="1"/>
  <c r="L64" i="6" s="1"/>
  <c r="G64" i="6"/>
  <c r="H64" i="6" s="1"/>
  <c r="F64" i="6"/>
  <c r="I63" i="6"/>
  <c r="K63" i="6" s="1"/>
  <c r="L63" i="6" s="1"/>
  <c r="F63" i="6"/>
  <c r="G63" i="6" s="1"/>
  <c r="J62" i="6"/>
  <c r="O62" i="6" s="1"/>
  <c r="I61" i="6"/>
  <c r="J61" i="6" s="1"/>
  <c r="O61" i="6" s="1"/>
  <c r="F61" i="6"/>
  <c r="I60" i="6"/>
  <c r="J60" i="6" s="1"/>
  <c r="O60" i="6" s="1"/>
  <c r="F60" i="6"/>
  <c r="G60" i="6" s="1"/>
  <c r="H60" i="6" s="1"/>
  <c r="J59" i="6"/>
  <c r="O59" i="6" s="1"/>
  <c r="J58" i="6"/>
  <c r="O58" i="6" s="1"/>
  <c r="I57" i="6"/>
  <c r="K57" i="6" s="1"/>
  <c r="F57" i="6"/>
  <c r="G57" i="6" s="1"/>
  <c r="I56" i="6"/>
  <c r="F56" i="6"/>
  <c r="G56" i="6" s="1"/>
  <c r="I55" i="6"/>
  <c r="F55" i="6"/>
  <c r="G55" i="6" s="1"/>
  <c r="H55" i="6" s="1"/>
  <c r="I54" i="6"/>
  <c r="J54" i="6" s="1"/>
  <c r="O54" i="6" s="1"/>
  <c r="F54" i="6"/>
  <c r="G54" i="6" s="1"/>
  <c r="I53" i="6"/>
  <c r="K53" i="6" s="1"/>
  <c r="F53" i="6"/>
  <c r="G53" i="6" s="1"/>
  <c r="I52" i="6"/>
  <c r="J52" i="6" s="1"/>
  <c r="O52" i="6" s="1"/>
  <c r="F52" i="6"/>
  <c r="G52" i="6" s="1"/>
  <c r="H52" i="6" s="1"/>
  <c r="K51" i="6"/>
  <c r="L51" i="6" s="1"/>
  <c r="J51" i="6"/>
  <c r="O51" i="6" s="1"/>
  <c r="F51" i="6"/>
  <c r="I50" i="6"/>
  <c r="K50" i="6" s="1"/>
  <c r="F50" i="6"/>
  <c r="I49" i="6"/>
  <c r="K49" i="6" s="1"/>
  <c r="M49" i="6" s="1"/>
  <c r="F49" i="6"/>
  <c r="G49" i="6" s="1"/>
  <c r="I48" i="6"/>
  <c r="K48" i="6" s="1"/>
  <c r="F48" i="6"/>
  <c r="I47" i="6"/>
  <c r="F47" i="6"/>
  <c r="G47" i="6" s="1"/>
  <c r="H47" i="6" s="1"/>
  <c r="I46" i="6"/>
  <c r="F46" i="6"/>
  <c r="G46" i="6" s="1"/>
  <c r="H46" i="6" s="1"/>
  <c r="K45" i="6"/>
  <c r="M45" i="6" s="1"/>
  <c r="J45" i="6"/>
  <c r="O45" i="6" s="1"/>
  <c r="F45" i="6"/>
  <c r="I44" i="6"/>
  <c r="F44" i="6"/>
  <c r="O43" i="6"/>
  <c r="M43" i="6"/>
  <c r="K43" i="6"/>
  <c r="L43" i="6" s="1"/>
  <c r="N43" i="6" s="1"/>
  <c r="J43" i="6"/>
  <c r="F43" i="6"/>
  <c r="I42" i="6"/>
  <c r="K42" i="6" s="1"/>
  <c r="F42" i="6"/>
  <c r="G42" i="6" s="1"/>
  <c r="H42" i="6" s="1"/>
  <c r="I41" i="6"/>
  <c r="K41" i="6" s="1"/>
  <c r="F41" i="6"/>
  <c r="L40" i="6"/>
  <c r="I40" i="6"/>
  <c r="K40" i="6" s="1"/>
  <c r="M40" i="6" s="1"/>
  <c r="F40" i="6"/>
  <c r="I39" i="6"/>
  <c r="K39" i="6" s="1"/>
  <c r="F39" i="6"/>
  <c r="J38" i="6"/>
  <c r="O38" i="6" s="1"/>
  <c r="K37" i="6"/>
  <c r="M37" i="6" s="1"/>
  <c r="J37" i="6"/>
  <c r="O37" i="6" s="1"/>
  <c r="F37" i="6"/>
  <c r="O36" i="6"/>
  <c r="I36" i="6"/>
  <c r="J36" i="6" s="1"/>
  <c r="F36" i="6"/>
  <c r="G36" i="6" s="1"/>
  <c r="J35" i="6"/>
  <c r="O35" i="6" s="1"/>
  <c r="J34" i="6"/>
  <c r="O34" i="6" s="1"/>
  <c r="I33" i="6"/>
  <c r="F33" i="6"/>
  <c r="O32" i="6"/>
  <c r="M32" i="6"/>
  <c r="N32" i="6" s="1"/>
  <c r="L32" i="6"/>
  <c r="K32" i="6"/>
  <c r="J32" i="6"/>
  <c r="F32" i="6"/>
  <c r="K31" i="6"/>
  <c r="J31" i="6"/>
  <c r="O31" i="6" s="1"/>
  <c r="F31" i="6"/>
  <c r="G31" i="6" s="1"/>
  <c r="K30" i="6"/>
  <c r="M30" i="6" s="1"/>
  <c r="J30" i="6"/>
  <c r="O30" i="6" s="1"/>
  <c r="F30" i="6"/>
  <c r="G30" i="6" s="1"/>
  <c r="H30" i="6" s="1"/>
  <c r="I29" i="6"/>
  <c r="F29" i="6"/>
  <c r="J28" i="6"/>
  <c r="O28" i="6" s="1"/>
  <c r="J27" i="6"/>
  <c r="O27" i="6" s="1"/>
  <c r="I26" i="6"/>
  <c r="J26" i="6" s="1"/>
  <c r="F26" i="6"/>
  <c r="J25" i="6"/>
  <c r="O25" i="6" s="1"/>
  <c r="I24" i="6"/>
  <c r="F24" i="6"/>
  <c r="G24" i="6" s="1"/>
  <c r="H24" i="6" s="1"/>
  <c r="I23" i="6"/>
  <c r="F23" i="6"/>
  <c r="G23" i="6" s="1"/>
  <c r="H23" i="6" s="1"/>
  <c r="J22" i="6"/>
  <c r="O22" i="6" s="1"/>
  <c r="I21" i="6"/>
  <c r="K21" i="6" s="1"/>
  <c r="F21" i="6"/>
  <c r="J20" i="6"/>
  <c r="O20" i="6" s="1"/>
  <c r="I19" i="6"/>
  <c r="K19" i="6" s="1"/>
  <c r="F19" i="6"/>
  <c r="J18" i="6"/>
  <c r="O18" i="6" s="1"/>
  <c r="I17" i="6"/>
  <c r="J17" i="6" s="1"/>
  <c r="O17" i="6" s="1"/>
  <c r="F17" i="6"/>
  <c r="I16" i="6"/>
  <c r="K16" i="6" s="1"/>
  <c r="L16" i="6" s="1"/>
  <c r="F16" i="6"/>
  <c r="G16" i="6" s="1"/>
  <c r="H16" i="6" s="1"/>
  <c r="I15" i="6"/>
  <c r="J15" i="6" s="1"/>
  <c r="O15" i="6" s="1"/>
  <c r="F15" i="6"/>
  <c r="G15" i="6" s="1"/>
  <c r="H15" i="6" s="1"/>
  <c r="I14" i="6"/>
  <c r="K14" i="6" s="1"/>
  <c r="L14" i="6" s="1"/>
  <c r="F14" i="6"/>
  <c r="I13" i="6"/>
  <c r="K13" i="6" s="1"/>
  <c r="M13" i="6" s="1"/>
  <c r="G13" i="6"/>
  <c r="H13" i="6" s="1"/>
  <c r="F13" i="6"/>
  <c r="J12" i="6"/>
  <c r="O12" i="6" s="1"/>
  <c r="I11" i="6"/>
  <c r="J11" i="6" s="1"/>
  <c r="O11" i="6" s="1"/>
  <c r="F11" i="6"/>
  <c r="J10" i="6"/>
  <c r="O10" i="6" s="1"/>
  <c r="J9" i="6"/>
  <c r="O9" i="6" s="1"/>
  <c r="I8" i="6"/>
  <c r="K8" i="6" s="1"/>
  <c r="F8" i="6"/>
  <c r="J7" i="6"/>
  <c r="O7" i="6" s="1"/>
  <c r="J6" i="6"/>
  <c r="F6" i="6"/>
  <c r="G6" i="6" s="1"/>
  <c r="M48" i="6" l="1"/>
  <c r="L48" i="6"/>
  <c r="L160" i="6"/>
  <c r="M160" i="6"/>
  <c r="H150" i="6"/>
  <c r="N49" i="6"/>
  <c r="N102" i="6"/>
  <c r="H11" i="6"/>
  <c r="H167" i="6"/>
  <c r="M168" i="6"/>
  <c r="N168" i="6" s="1"/>
  <c r="L168" i="6"/>
  <c r="M77" i="6"/>
  <c r="L77" i="6"/>
  <c r="H154" i="6"/>
  <c r="M144" i="6"/>
  <c r="L144" i="6"/>
  <c r="N144" i="6" s="1"/>
  <c r="L30" i="6"/>
  <c r="L111" i="6"/>
  <c r="N111" i="6" s="1"/>
  <c r="L141" i="6"/>
  <c r="N141" i="6" s="1"/>
  <c r="J13" i="6"/>
  <c r="O13" i="6" s="1"/>
  <c r="L102" i="6"/>
  <c r="M117" i="6"/>
  <c r="N117" i="6" s="1"/>
  <c r="H121" i="6"/>
  <c r="M138" i="6"/>
  <c r="N138" i="6" s="1"/>
  <c r="L154" i="6"/>
  <c r="J21" i="6"/>
  <c r="J41" i="6"/>
  <c r="O41" i="6" s="1"/>
  <c r="J77" i="6"/>
  <c r="O77" i="6" s="1"/>
  <c r="M145" i="6"/>
  <c r="N145" i="6" s="1"/>
  <c r="G82" i="6"/>
  <c r="H82" i="6" s="1"/>
  <c r="J89" i="6"/>
  <c r="O89" i="6" s="1"/>
  <c r="K174" i="6"/>
  <c r="L45" i="6"/>
  <c r="G11" i="6"/>
  <c r="H63" i="6"/>
  <c r="K110" i="6"/>
  <c r="J122" i="6"/>
  <c r="O122" i="6" s="1"/>
  <c r="M126" i="6"/>
  <c r="N126" i="6" s="1"/>
  <c r="M133" i="6"/>
  <c r="N133" i="6" s="1"/>
  <c r="G180" i="6"/>
  <c r="H180" i="6" s="1"/>
  <c r="K17" i="6"/>
  <c r="M17" i="6" s="1"/>
  <c r="L82" i="6"/>
  <c r="N82" i="6" s="1"/>
  <c r="H85" i="6"/>
  <c r="J91" i="6"/>
  <c r="O91" i="6" s="1"/>
  <c r="K94" i="6"/>
  <c r="M94" i="6" s="1"/>
  <c r="K103" i="6"/>
  <c r="J144" i="6"/>
  <c r="O144" i="6" s="1"/>
  <c r="H148" i="6"/>
  <c r="K161" i="6"/>
  <c r="L161" i="6" s="1"/>
  <c r="J172" i="6"/>
  <c r="O172" i="6" s="1"/>
  <c r="N66" i="6"/>
  <c r="J83" i="6"/>
  <c r="O83" i="6" s="1"/>
  <c r="M95" i="6"/>
  <c r="G167" i="6"/>
  <c r="M127" i="6"/>
  <c r="N127" i="6" s="1"/>
  <c r="L128" i="6"/>
  <c r="J14" i="6"/>
  <c r="O14" i="6" s="1"/>
  <c r="K54" i="6"/>
  <c r="M84" i="6"/>
  <c r="N84" i="6" s="1"/>
  <c r="M139" i="6"/>
  <c r="N139" i="6" s="1"/>
  <c r="K158" i="6"/>
  <c r="M158" i="6" s="1"/>
  <c r="J168" i="6"/>
  <c r="O168" i="6" s="1"/>
  <c r="M14" i="6"/>
  <c r="N14" i="6" s="1"/>
  <c r="J39" i="6"/>
  <c r="O39" i="6" s="1"/>
  <c r="J49" i="6"/>
  <c r="O49" i="6" s="1"/>
  <c r="K52" i="6"/>
  <c r="J63" i="6"/>
  <c r="O63" i="6" s="1"/>
  <c r="M82" i="6"/>
  <c r="L131" i="6"/>
  <c r="G154" i="6"/>
  <c r="J64" i="6"/>
  <c r="O64" i="6" s="1"/>
  <c r="L130" i="6"/>
  <c r="N130" i="6" s="1"/>
  <c r="H133" i="6"/>
  <c r="H31" i="6"/>
  <c r="L37" i="6"/>
  <c r="K112" i="6"/>
  <c r="L112" i="6" s="1"/>
  <c r="J171" i="6"/>
  <c r="O171" i="6" s="1"/>
  <c r="G68" i="6"/>
  <c r="H68" i="6" s="1"/>
  <c r="M155" i="6"/>
  <c r="N155" i="6" s="1"/>
  <c r="K116" i="6"/>
  <c r="L116" i="6" s="1"/>
  <c r="K36" i="6"/>
  <c r="L49" i="6"/>
  <c r="K60" i="6"/>
  <c r="M63" i="6"/>
  <c r="N63" i="6" s="1"/>
  <c r="J156" i="6"/>
  <c r="O156" i="6" s="1"/>
  <c r="K159" i="6"/>
  <c r="L159" i="6" s="1"/>
  <c r="J166" i="6"/>
  <c r="O166" i="6" s="1"/>
  <c r="K175" i="6"/>
  <c r="M175" i="6" s="1"/>
  <c r="J180" i="6"/>
  <c r="O180" i="6" s="1"/>
  <c r="H53" i="6"/>
  <c r="K61" i="6"/>
  <c r="G150" i="6"/>
  <c r="K173" i="6"/>
  <c r="J48" i="6"/>
  <c r="O48" i="6" s="1"/>
  <c r="J57" i="6"/>
  <c r="O57" i="6" s="1"/>
  <c r="M80" i="6"/>
  <c r="N80" i="6" s="1"/>
  <c r="J160" i="6"/>
  <c r="O160" i="6" s="1"/>
  <c r="M64" i="6"/>
  <c r="N64" i="6" s="1"/>
  <c r="K93" i="6"/>
  <c r="M115" i="6"/>
  <c r="N115" i="6" s="1"/>
  <c r="N37" i="6"/>
  <c r="H65" i="6"/>
  <c r="H119" i="6"/>
  <c r="K15" i="6"/>
  <c r="K104" i="6"/>
  <c r="H141" i="6"/>
  <c r="G26" i="6"/>
  <c r="H26" i="6"/>
  <c r="L94" i="6"/>
  <c r="N94" i="6" s="1"/>
  <c r="N154" i="6"/>
  <c r="K147" i="6"/>
  <c r="J147" i="6"/>
  <c r="O147" i="6" s="1"/>
  <c r="K92" i="6"/>
  <c r="J92" i="6"/>
  <c r="O92" i="6" s="1"/>
  <c r="M42" i="6"/>
  <c r="L42" i="6"/>
  <c r="G51" i="6"/>
  <c r="H51" i="6" s="1"/>
  <c r="M104" i="6"/>
  <c r="L104" i="6"/>
  <c r="M68" i="6"/>
  <c r="L68" i="6"/>
  <c r="H44" i="6"/>
  <c r="M101" i="6"/>
  <c r="L101" i="6"/>
  <c r="G39" i="6"/>
  <c r="H39" i="6" s="1"/>
  <c r="H56" i="6"/>
  <c r="L118" i="6"/>
  <c r="N118" i="6" s="1"/>
  <c r="M173" i="6"/>
  <c r="L173" i="6"/>
  <c r="L83" i="6"/>
  <c r="M83" i="6"/>
  <c r="F5" i="6"/>
  <c r="J65" i="6"/>
  <c r="O65" i="6" s="1"/>
  <c r="K65" i="6"/>
  <c r="K46" i="6"/>
  <c r="J46" i="6"/>
  <c r="O46" i="6" s="1"/>
  <c r="M121" i="6"/>
  <c r="L121" i="6"/>
  <c r="K11" i="6"/>
  <c r="G19" i="6"/>
  <c r="H19" i="6" s="1"/>
  <c r="M39" i="6"/>
  <c r="L39" i="6"/>
  <c r="J42" i="6"/>
  <c r="O42" i="6" s="1"/>
  <c r="G44" i="6"/>
  <c r="H54" i="6"/>
  <c r="K56" i="6"/>
  <c r="J56" i="6"/>
  <c r="O56" i="6" s="1"/>
  <c r="L75" i="6"/>
  <c r="N75" i="6" s="1"/>
  <c r="G131" i="6"/>
  <c r="H131" i="6" s="1"/>
  <c r="G142" i="6"/>
  <c r="H142" i="6" s="1"/>
  <c r="K23" i="6"/>
  <c r="J23" i="6"/>
  <c r="O23" i="6" s="1"/>
  <c r="M8" i="6"/>
  <c r="N8" i="6" s="1"/>
  <c r="J16" i="6"/>
  <c r="O16" i="6" s="1"/>
  <c r="G40" i="6"/>
  <c r="H40" i="6" s="1"/>
  <c r="G61" i="6"/>
  <c r="H61" i="6" s="1"/>
  <c r="K125" i="6"/>
  <c r="J125" i="6"/>
  <c r="O125" i="6" s="1"/>
  <c r="L129" i="6"/>
  <c r="N129" i="6" s="1"/>
  <c r="J153" i="6"/>
  <c r="O153" i="6" s="1"/>
  <c r="N160" i="6"/>
  <c r="G163" i="6"/>
  <c r="H163" i="6" s="1"/>
  <c r="J8" i="6"/>
  <c r="O8" i="6" s="1"/>
  <c r="M16" i="6"/>
  <c r="N16" i="6" s="1"/>
  <c r="N40" i="6"/>
  <c r="K47" i="6"/>
  <c r="J47" i="6"/>
  <c r="O47" i="6" s="1"/>
  <c r="J68" i="6"/>
  <c r="O68" i="6" s="1"/>
  <c r="J101" i="6"/>
  <c r="O101" i="6" s="1"/>
  <c r="K149" i="6"/>
  <c r="J149" i="6"/>
  <c r="O149" i="6" s="1"/>
  <c r="L8" i="6"/>
  <c r="G33" i="6"/>
  <c r="H33" i="6" s="1"/>
  <c r="J40" i="6"/>
  <c r="O40" i="6" s="1"/>
  <c r="G91" i="6"/>
  <c r="H91" i="6" s="1"/>
  <c r="M93" i="6"/>
  <c r="L93" i="6"/>
  <c r="K108" i="6"/>
  <c r="J108" i="6"/>
  <c r="O108" i="6" s="1"/>
  <c r="N131" i="6"/>
  <c r="K136" i="6"/>
  <c r="J136" i="6"/>
  <c r="O136" i="6" s="1"/>
  <c r="G140" i="6"/>
  <c r="H140" i="6" s="1"/>
  <c r="M167" i="6"/>
  <c r="L167" i="6"/>
  <c r="M153" i="6"/>
  <c r="L153" i="6"/>
  <c r="J19" i="6"/>
  <c r="O19" i="6" s="1"/>
  <c r="G21" i="6"/>
  <c r="H21" i="6" s="1"/>
  <c r="G37" i="6"/>
  <c r="H37" i="6" s="1"/>
  <c r="G98" i="6"/>
  <c r="H98" i="6" s="1"/>
  <c r="G29" i="6"/>
  <c r="H29" i="6" s="1"/>
  <c r="G50" i="6"/>
  <c r="H50" i="6" s="1"/>
  <c r="J80" i="6"/>
  <c r="O80" i="6" s="1"/>
  <c r="G94" i="6"/>
  <c r="H94" i="6" s="1"/>
  <c r="M98" i="6"/>
  <c r="L98" i="6"/>
  <c r="M156" i="6"/>
  <c r="L156" i="6"/>
  <c r="M165" i="6"/>
  <c r="L165" i="6"/>
  <c r="M19" i="6"/>
  <c r="L19" i="6"/>
  <c r="M60" i="6"/>
  <c r="L60" i="6"/>
  <c r="M148" i="6"/>
  <c r="L148" i="6"/>
  <c r="N30" i="6"/>
  <c r="G73" i="6"/>
  <c r="H73" i="6" s="1"/>
  <c r="M179" i="6"/>
  <c r="L179" i="6"/>
  <c r="G17" i="6"/>
  <c r="H17" i="6" s="1"/>
  <c r="K33" i="6"/>
  <c r="J33" i="6"/>
  <c r="O33" i="6" s="1"/>
  <c r="G48" i="6"/>
  <c r="H48" i="6" s="1"/>
  <c r="M57" i="6"/>
  <c r="L57" i="6"/>
  <c r="G110" i="6"/>
  <c r="H110" i="6" s="1"/>
  <c r="H6" i="6"/>
  <c r="L13" i="6"/>
  <c r="N13" i="6" s="1"/>
  <c r="M50" i="6"/>
  <c r="L50" i="6"/>
  <c r="J74" i="6"/>
  <c r="O74" i="6" s="1"/>
  <c r="M91" i="6"/>
  <c r="L91" i="6"/>
  <c r="J98" i="6"/>
  <c r="O98" i="6" s="1"/>
  <c r="M110" i="6"/>
  <c r="L110" i="6"/>
  <c r="G124" i="6"/>
  <c r="H124" i="6" s="1"/>
  <c r="G147" i="6"/>
  <c r="H147" i="6" s="1"/>
  <c r="M159" i="6"/>
  <c r="K170" i="6"/>
  <c r="J170" i="6"/>
  <c r="O170" i="6" s="1"/>
  <c r="H57" i="6"/>
  <c r="K29" i="6"/>
  <c r="J29" i="6"/>
  <c r="O29" i="6" s="1"/>
  <c r="N48" i="6"/>
  <c r="J50" i="6"/>
  <c r="O50" i="6" s="1"/>
  <c r="L74" i="6"/>
  <c r="N74" i="6" s="1"/>
  <c r="K86" i="6"/>
  <c r="J86" i="6"/>
  <c r="O86" i="6" s="1"/>
  <c r="H113" i="6"/>
  <c r="M120" i="6"/>
  <c r="N120" i="6" s="1"/>
  <c r="G157" i="6"/>
  <c r="H157" i="6" s="1"/>
  <c r="M31" i="6"/>
  <c r="L31" i="6"/>
  <c r="H49" i="6"/>
  <c r="G100" i="6"/>
  <c r="H100" i="6" s="1"/>
  <c r="K142" i="6"/>
  <c r="J142" i="6"/>
  <c r="O142" i="6" s="1"/>
  <c r="M152" i="6"/>
  <c r="L152" i="6"/>
  <c r="M161" i="6"/>
  <c r="M171" i="6"/>
  <c r="L171" i="6"/>
  <c r="G32" i="6"/>
  <c r="H32" i="6" s="1"/>
  <c r="H41" i="6"/>
  <c r="G45" i="6"/>
  <c r="H45" i="6" s="1"/>
  <c r="M53" i="6"/>
  <c r="L53" i="6"/>
  <c r="G169" i="6"/>
  <c r="H169" i="6" s="1"/>
  <c r="K26" i="6"/>
  <c r="G41" i="6"/>
  <c r="M51" i="6"/>
  <c r="N51" i="6" s="1"/>
  <c r="J53" i="6"/>
  <c r="O53" i="6" s="1"/>
  <c r="G74" i="6"/>
  <c r="H74" i="6" s="1"/>
  <c r="G101" i="6"/>
  <c r="H101" i="6" s="1"/>
  <c r="L119" i="6"/>
  <c r="N119" i="6" s="1"/>
  <c r="G153" i="6"/>
  <c r="H153" i="6" s="1"/>
  <c r="K157" i="6"/>
  <c r="J157" i="6"/>
  <c r="O157" i="6" s="1"/>
  <c r="G162" i="6"/>
  <c r="H162" i="6" s="1"/>
  <c r="J165" i="6"/>
  <c r="O165" i="6" s="1"/>
  <c r="J167" i="6"/>
  <c r="O167" i="6" s="1"/>
  <c r="N178" i="6"/>
  <c r="M21" i="6"/>
  <c r="L21" i="6"/>
  <c r="H36" i="6"/>
  <c r="M41" i="6"/>
  <c r="L41" i="6"/>
  <c r="N45" i="6"/>
  <c r="K76" i="6"/>
  <c r="J76" i="6"/>
  <c r="O76" i="6" s="1"/>
  <c r="N95" i="6"/>
  <c r="M124" i="6"/>
  <c r="N124" i="6" s="1"/>
  <c r="K140" i="6"/>
  <c r="J140" i="6"/>
  <c r="O140" i="6" s="1"/>
  <c r="K143" i="6"/>
  <c r="J143" i="6"/>
  <c r="O143" i="6" s="1"/>
  <c r="G149" i="6"/>
  <c r="H149" i="6" s="1"/>
  <c r="G14" i="6"/>
  <c r="H14" i="6" s="1"/>
  <c r="K44" i="6"/>
  <c r="J44" i="6"/>
  <c r="O44" i="6" s="1"/>
  <c r="M103" i="6"/>
  <c r="L103" i="6"/>
  <c r="K107" i="6"/>
  <c r="J107" i="6"/>
  <c r="O107" i="6" s="1"/>
  <c r="M122" i="6"/>
  <c r="L122" i="6"/>
  <c r="G175" i="6"/>
  <c r="H175" i="6" s="1"/>
  <c r="G75" i="6"/>
  <c r="H75" i="6" s="1"/>
  <c r="K85" i="6"/>
  <c r="J85" i="6"/>
  <c r="O85" i="6" s="1"/>
  <c r="K24" i="6"/>
  <c r="J24" i="6"/>
  <c r="O24" i="6" s="1"/>
  <c r="K67" i="6"/>
  <c r="J67" i="6"/>
  <c r="O67" i="6" s="1"/>
  <c r="J82" i="6"/>
  <c r="O82" i="6" s="1"/>
  <c r="G89" i="6"/>
  <c r="H89" i="6" s="1"/>
  <c r="M100" i="6"/>
  <c r="L100" i="6"/>
  <c r="H104" i="6"/>
  <c r="J119" i="6"/>
  <c r="O119" i="6" s="1"/>
  <c r="M123" i="6"/>
  <c r="L123" i="6"/>
  <c r="M132" i="6"/>
  <c r="L132" i="6"/>
  <c r="J141" i="6"/>
  <c r="O141" i="6" s="1"/>
  <c r="J148" i="6"/>
  <c r="O148" i="6" s="1"/>
  <c r="J150" i="6"/>
  <c r="O150" i="6" s="1"/>
  <c r="G172" i="6"/>
  <c r="H172" i="6" s="1"/>
  <c r="G8" i="6"/>
  <c r="H8" i="6" s="1"/>
  <c r="K55" i="6"/>
  <c r="J55" i="6"/>
  <c r="O55" i="6" s="1"/>
  <c r="H66" i="6"/>
  <c r="G77" i="6"/>
  <c r="H77" i="6" s="1"/>
  <c r="M89" i="6"/>
  <c r="L89" i="6"/>
  <c r="J100" i="6"/>
  <c r="O100" i="6" s="1"/>
  <c r="G104" i="6"/>
  <c r="H108" i="6"/>
  <c r="L150" i="6"/>
  <c r="N150" i="6" s="1"/>
  <c r="H156" i="6"/>
  <c r="G158" i="6"/>
  <c r="H158" i="6" s="1"/>
  <c r="K163" i="6"/>
  <c r="J163" i="6"/>
  <c r="O163" i="6" s="1"/>
  <c r="N128" i="6"/>
  <c r="G43" i="6"/>
  <c r="H43" i="6" s="1"/>
  <c r="M73" i="6"/>
  <c r="L73" i="6"/>
  <c r="G120" i="6"/>
  <c r="H120" i="6" s="1"/>
  <c r="J155" i="6"/>
  <c r="O155" i="6" s="1"/>
  <c r="L162" i="6"/>
  <c r="N162" i="6" s="1"/>
  <c r="G165" i="6"/>
  <c r="H165" i="6" s="1"/>
  <c r="L166" i="6"/>
  <c r="N166" i="6" s="1"/>
  <c r="L169" i="6"/>
  <c r="N169" i="6" s="1"/>
  <c r="G171" i="6"/>
  <c r="H171" i="6" s="1"/>
  <c r="L172" i="6"/>
  <c r="N172" i="6" s="1"/>
  <c r="G179" i="6"/>
  <c r="H179" i="6" s="1"/>
  <c r="L180" i="6"/>
  <c r="N180" i="6" s="1"/>
  <c r="J73" i="6"/>
  <c r="O73" i="6" s="1"/>
  <c r="G83" i="6"/>
  <c r="H83" i="6" s="1"/>
  <c r="H117" i="6"/>
  <c r="G127" i="6"/>
  <c r="H127" i="6" s="1"/>
  <c r="G138" i="6"/>
  <c r="H138" i="6" s="1"/>
  <c r="G144" i="6"/>
  <c r="H144" i="6" s="1"/>
  <c r="L71" i="6"/>
  <c r="N71" i="6" s="1"/>
  <c r="J84" i="6"/>
  <c r="O84" i="6" s="1"/>
  <c r="J95" i="6"/>
  <c r="O95" i="6" s="1"/>
  <c r="G103" i="6"/>
  <c r="H103" i="6" s="1"/>
  <c r="G112" i="6"/>
  <c r="H112" i="6" s="1"/>
  <c r="G116" i="6"/>
  <c r="H116" i="6" s="1"/>
  <c r="J121" i="6"/>
  <c r="O121" i="6" s="1"/>
  <c r="G130" i="6"/>
  <c r="H130" i="6" s="1"/>
  <c r="J131" i="6"/>
  <c r="O131" i="6" s="1"/>
  <c r="J139" i="6"/>
  <c r="O139" i="6" s="1"/>
  <c r="J145" i="6"/>
  <c r="O145" i="6" s="1"/>
  <c r="G155" i="6"/>
  <c r="H155" i="6" s="1"/>
  <c r="G161" i="6"/>
  <c r="H161" i="6" s="1"/>
  <c r="G168" i="6"/>
  <c r="H168" i="6" s="1"/>
  <c r="G174" i="6"/>
  <c r="H174" i="6" s="1"/>
  <c r="L178" i="6"/>
  <c r="N83" i="6" l="1"/>
  <c r="M112" i="6"/>
  <c r="N60" i="6"/>
  <c r="L54" i="6"/>
  <c r="M54" i="6"/>
  <c r="O26" i="6"/>
  <c r="O21" i="6"/>
  <c r="O6" i="6" s="1"/>
  <c r="O5" i="6" s="1"/>
  <c r="L17" i="6"/>
  <c r="N17" i="6" s="1"/>
  <c r="L15" i="6"/>
  <c r="M15" i="6"/>
  <c r="L36" i="6"/>
  <c r="M36" i="6"/>
  <c r="N77" i="6"/>
  <c r="L158" i="6"/>
  <c r="M52" i="6"/>
  <c r="L52" i="6"/>
  <c r="L174" i="6"/>
  <c r="M174" i="6"/>
  <c r="N174" i="6" s="1"/>
  <c r="G5" i="6"/>
  <c r="L175" i="6"/>
  <c r="N175" i="6" s="1"/>
  <c r="M116" i="6"/>
  <c r="N116" i="6" s="1"/>
  <c r="L61" i="6"/>
  <c r="M61" i="6"/>
  <c r="N61" i="6" s="1"/>
  <c r="L170" i="6"/>
  <c r="M170" i="6"/>
  <c r="L142" i="6"/>
  <c r="M142" i="6"/>
  <c r="N142" i="6" s="1"/>
  <c r="N50" i="6"/>
  <c r="N73" i="6"/>
  <c r="N159" i="6"/>
  <c r="M85" i="6"/>
  <c r="L85" i="6"/>
  <c r="N179" i="6"/>
  <c r="L143" i="6"/>
  <c r="M143" i="6"/>
  <c r="N143" i="6" s="1"/>
  <c r="N21" i="6"/>
  <c r="N19" i="6"/>
  <c r="H5" i="6"/>
  <c r="M86" i="6"/>
  <c r="L86" i="6"/>
  <c r="L46" i="6"/>
  <c r="M46" i="6"/>
  <c r="N46" i="6" s="1"/>
  <c r="N89" i="6"/>
  <c r="L92" i="6"/>
  <c r="M92" i="6"/>
  <c r="N92" i="6" s="1"/>
  <c r="N57" i="6"/>
  <c r="M23" i="6"/>
  <c r="L23" i="6"/>
  <c r="M147" i="6"/>
  <c r="L147" i="6"/>
  <c r="M29" i="6"/>
  <c r="L29" i="6"/>
  <c r="M24" i="6"/>
  <c r="L24" i="6"/>
  <c r="L107" i="6"/>
  <c r="M107" i="6"/>
  <c r="N107" i="6" s="1"/>
  <c r="N167" i="6"/>
  <c r="N121" i="6"/>
  <c r="M140" i="6"/>
  <c r="N140" i="6" s="1"/>
  <c r="L140" i="6"/>
  <c r="L65" i="6"/>
  <c r="M65" i="6"/>
  <c r="N65" i="6" s="1"/>
  <c r="N103" i="6"/>
  <c r="M56" i="6"/>
  <c r="L56" i="6"/>
  <c r="N104" i="6"/>
  <c r="L149" i="6"/>
  <c r="M149" i="6"/>
  <c r="N149" i="6" s="1"/>
  <c r="L44" i="6"/>
  <c r="M44" i="6"/>
  <c r="N44" i="6" s="1"/>
  <c r="N31" i="6"/>
  <c r="N158" i="6"/>
  <c r="N165" i="6"/>
  <c r="L136" i="6"/>
  <c r="M136" i="6"/>
  <c r="N136" i="6" s="1"/>
  <c r="N171" i="6"/>
  <c r="N110" i="6"/>
  <c r="L125" i="6"/>
  <c r="M125" i="6"/>
  <c r="N125" i="6" s="1"/>
  <c r="N173" i="6"/>
  <c r="N42" i="6"/>
  <c r="L76" i="6"/>
  <c r="M76" i="6"/>
  <c r="N76" i="6" s="1"/>
  <c r="M26" i="6"/>
  <c r="L26" i="6"/>
  <c r="N156" i="6"/>
  <c r="N153" i="6"/>
  <c r="N101" i="6"/>
  <c r="L163" i="6"/>
  <c r="M163" i="6"/>
  <c r="N163" i="6" s="1"/>
  <c r="N161" i="6"/>
  <c r="L47" i="6"/>
  <c r="M47" i="6"/>
  <c r="N47" i="6" s="1"/>
  <c r="N39" i="6"/>
  <c r="L67" i="6"/>
  <c r="M67" i="6"/>
  <c r="N91" i="6"/>
  <c r="N112" i="6"/>
  <c r="K6" i="6"/>
  <c r="N100" i="6"/>
  <c r="N132" i="6"/>
  <c r="N53" i="6"/>
  <c r="N148" i="6"/>
  <c r="M108" i="6"/>
  <c r="L108" i="6"/>
  <c r="L55" i="6"/>
  <c r="M55" i="6"/>
  <c r="N55" i="6" s="1"/>
  <c r="N123" i="6"/>
  <c r="N122" i="6"/>
  <c r="N41" i="6"/>
  <c r="L157" i="6"/>
  <c r="M157" i="6"/>
  <c r="N152" i="6"/>
  <c r="L33" i="6"/>
  <c r="M33" i="6"/>
  <c r="N33" i="6" s="1"/>
  <c r="N98" i="6"/>
  <c r="N93" i="6"/>
  <c r="M11" i="6"/>
  <c r="L11" i="6"/>
  <c r="N68" i="6"/>
  <c r="N36" i="6" l="1"/>
  <c r="N15" i="6"/>
  <c r="N54" i="6"/>
  <c r="N52" i="6"/>
  <c r="N147" i="6"/>
  <c r="N170" i="6"/>
  <c r="N26" i="6"/>
  <c r="N56" i="6"/>
  <c r="N23" i="6"/>
  <c r="K5" i="6"/>
  <c r="M6" i="6"/>
  <c r="L6" i="6"/>
  <c r="L5" i="6" s="1"/>
  <c r="N108" i="6"/>
  <c r="N24" i="6"/>
  <c r="N85" i="6"/>
  <c r="N29" i="6"/>
  <c r="N11" i="6"/>
  <c r="R5" i="6"/>
  <c r="N157" i="6"/>
  <c r="N67" i="6"/>
  <c r="N86" i="6"/>
  <c r="N6" i="6" l="1"/>
  <c r="N5" i="6" s="1"/>
  <c r="M5" i="6"/>
  <c r="K134" i="5" l="1"/>
  <c r="M134" i="5" s="1"/>
  <c r="J134" i="5"/>
  <c r="O134" i="5" s="1"/>
  <c r="G134" i="5"/>
  <c r="H134" i="5" s="1"/>
  <c r="F134" i="5"/>
  <c r="O133" i="5"/>
  <c r="M133" i="5"/>
  <c r="N133" i="5" s="1"/>
  <c r="K133" i="5"/>
  <c r="L133" i="5" s="1"/>
  <c r="J133" i="5"/>
  <c r="F133" i="5"/>
  <c r="O132" i="5"/>
  <c r="K132" i="5"/>
  <c r="J132" i="5"/>
  <c r="F132" i="5"/>
  <c r="K130" i="5"/>
  <c r="M130" i="5" s="1"/>
  <c r="J130" i="5"/>
  <c r="O130" i="5" s="1"/>
  <c r="F130" i="5"/>
  <c r="K129" i="5"/>
  <c r="M129" i="5" s="1"/>
  <c r="J129" i="5"/>
  <c r="O129" i="5" s="1"/>
  <c r="G129" i="5"/>
  <c r="H129" i="5" s="1"/>
  <c r="F129" i="5"/>
  <c r="O128" i="5"/>
  <c r="M128" i="5"/>
  <c r="N128" i="5" s="1"/>
  <c r="K128" i="5"/>
  <c r="L128" i="5" s="1"/>
  <c r="J128" i="5"/>
  <c r="F128" i="5"/>
  <c r="O127" i="5"/>
  <c r="K127" i="5"/>
  <c r="J127" i="5"/>
  <c r="F127" i="5"/>
  <c r="K125" i="5"/>
  <c r="M125" i="5" s="1"/>
  <c r="J125" i="5"/>
  <c r="O125" i="5" s="1"/>
  <c r="F125" i="5"/>
  <c r="G125" i="5" s="1"/>
  <c r="K124" i="5"/>
  <c r="M124" i="5" s="1"/>
  <c r="J124" i="5"/>
  <c r="O124" i="5" s="1"/>
  <c r="G124" i="5"/>
  <c r="H124" i="5" s="1"/>
  <c r="F124" i="5"/>
  <c r="O123" i="5"/>
  <c r="M123" i="5"/>
  <c r="N123" i="5" s="1"/>
  <c r="K123" i="5"/>
  <c r="L123" i="5" s="1"/>
  <c r="J123" i="5"/>
  <c r="F123" i="5"/>
  <c r="L122" i="5"/>
  <c r="O121" i="5"/>
  <c r="K121" i="5"/>
  <c r="M121" i="5" s="1"/>
  <c r="J121" i="5"/>
  <c r="G121" i="5"/>
  <c r="F121" i="5"/>
  <c r="H121" i="5" s="1"/>
  <c r="M120" i="5"/>
  <c r="N120" i="5" s="1"/>
  <c r="L120" i="5"/>
  <c r="K120" i="5"/>
  <c r="J120" i="5"/>
  <c r="O120" i="5" s="1"/>
  <c r="G120" i="5"/>
  <c r="H120" i="5" s="1"/>
  <c r="F120" i="5"/>
  <c r="K119" i="5"/>
  <c r="J119" i="5"/>
  <c r="O119" i="5" s="1"/>
  <c r="I119" i="5"/>
  <c r="F119" i="5"/>
  <c r="I118" i="5"/>
  <c r="G118" i="5"/>
  <c r="H118" i="5" s="1"/>
  <c r="F118" i="5"/>
  <c r="O116" i="5"/>
  <c r="M116" i="5"/>
  <c r="N116" i="5" s="1"/>
  <c r="K116" i="5"/>
  <c r="L116" i="5" s="1"/>
  <c r="J116" i="5"/>
  <c r="F116" i="5"/>
  <c r="K115" i="5"/>
  <c r="J115" i="5"/>
  <c r="O115" i="5" s="1"/>
  <c r="F115" i="5"/>
  <c r="K114" i="5"/>
  <c r="L114" i="5" s="1"/>
  <c r="I114" i="5"/>
  <c r="J114" i="5" s="1"/>
  <c r="O114" i="5" s="1"/>
  <c r="G114" i="5"/>
  <c r="H114" i="5" s="1"/>
  <c r="F114" i="5"/>
  <c r="K113" i="5"/>
  <c r="J113" i="5"/>
  <c r="O113" i="5" s="1"/>
  <c r="F113" i="5"/>
  <c r="G113" i="5" s="1"/>
  <c r="H113" i="5" s="1"/>
  <c r="O112" i="5"/>
  <c r="K112" i="5"/>
  <c r="M112" i="5" s="1"/>
  <c r="J112" i="5"/>
  <c r="F112" i="5"/>
  <c r="G112" i="5" s="1"/>
  <c r="O111" i="5"/>
  <c r="K111" i="5"/>
  <c r="M111" i="5" s="1"/>
  <c r="J111" i="5"/>
  <c r="G111" i="5"/>
  <c r="F111" i="5"/>
  <c r="H111" i="5" s="1"/>
  <c r="M110" i="5"/>
  <c r="N110" i="5" s="1"/>
  <c r="L110" i="5"/>
  <c r="K110" i="5"/>
  <c r="J110" i="5"/>
  <c r="O110" i="5" s="1"/>
  <c r="G110" i="5"/>
  <c r="H110" i="5" s="1"/>
  <c r="F110" i="5"/>
  <c r="K109" i="5"/>
  <c r="J109" i="5"/>
  <c r="O109" i="5" s="1"/>
  <c r="F109" i="5"/>
  <c r="G109" i="5" s="1"/>
  <c r="H109" i="5" s="1"/>
  <c r="O108" i="5"/>
  <c r="K108" i="5"/>
  <c r="M108" i="5" s="1"/>
  <c r="J108" i="5"/>
  <c r="F108" i="5"/>
  <c r="G108" i="5" s="1"/>
  <c r="O107" i="5"/>
  <c r="K107" i="5"/>
  <c r="M107" i="5" s="1"/>
  <c r="J107" i="5"/>
  <c r="G107" i="5"/>
  <c r="F107" i="5"/>
  <c r="H107" i="5" s="1"/>
  <c r="M106" i="5"/>
  <c r="N106" i="5" s="1"/>
  <c r="L106" i="5"/>
  <c r="K106" i="5"/>
  <c r="J106" i="5"/>
  <c r="O106" i="5" s="1"/>
  <c r="G106" i="5"/>
  <c r="H106" i="5" s="1"/>
  <c r="F106" i="5"/>
  <c r="K104" i="5"/>
  <c r="J104" i="5"/>
  <c r="O104" i="5" s="1"/>
  <c r="F104" i="5"/>
  <c r="G104" i="5" s="1"/>
  <c r="O103" i="5"/>
  <c r="K103" i="5"/>
  <c r="M103" i="5" s="1"/>
  <c r="J103" i="5"/>
  <c r="F103" i="5"/>
  <c r="G103" i="5" s="1"/>
  <c r="O102" i="5"/>
  <c r="K102" i="5"/>
  <c r="M102" i="5" s="1"/>
  <c r="J102" i="5"/>
  <c r="G102" i="5"/>
  <c r="F102" i="5"/>
  <c r="H102" i="5" s="1"/>
  <c r="M101" i="5"/>
  <c r="N101" i="5" s="1"/>
  <c r="L101" i="5"/>
  <c r="K101" i="5"/>
  <c r="J101" i="5"/>
  <c r="O101" i="5" s="1"/>
  <c r="H101" i="5"/>
  <c r="G101" i="5"/>
  <c r="F101" i="5"/>
  <c r="K100" i="5"/>
  <c r="J100" i="5"/>
  <c r="O100" i="5" s="1"/>
  <c r="F100" i="5"/>
  <c r="G100" i="5" s="1"/>
  <c r="I99" i="5"/>
  <c r="K99" i="5" s="1"/>
  <c r="F99" i="5"/>
  <c r="G99" i="5" s="1"/>
  <c r="I98" i="5"/>
  <c r="K98" i="5" s="1"/>
  <c r="M98" i="5" s="1"/>
  <c r="F98" i="5"/>
  <c r="K97" i="5"/>
  <c r="M97" i="5" s="1"/>
  <c r="J97" i="5"/>
  <c r="O97" i="5" s="1"/>
  <c r="F97" i="5"/>
  <c r="I96" i="5"/>
  <c r="J96" i="5" s="1"/>
  <c r="O96" i="5" s="1"/>
  <c r="G96" i="5"/>
  <c r="H96" i="5" s="1"/>
  <c r="F96" i="5"/>
  <c r="I95" i="5"/>
  <c r="J95" i="5" s="1"/>
  <c r="O95" i="5" s="1"/>
  <c r="F95" i="5"/>
  <c r="G95" i="5" s="1"/>
  <c r="O94" i="5"/>
  <c r="L94" i="5"/>
  <c r="K94" i="5"/>
  <c r="M94" i="5" s="1"/>
  <c r="N94" i="5" s="1"/>
  <c r="J94" i="5"/>
  <c r="F94" i="5"/>
  <c r="O93" i="5"/>
  <c r="M93" i="5"/>
  <c r="N93" i="5" s="1"/>
  <c r="L93" i="5"/>
  <c r="K93" i="5"/>
  <c r="J93" i="5"/>
  <c r="F93" i="5"/>
  <c r="K92" i="5"/>
  <c r="L92" i="5" s="1"/>
  <c r="J92" i="5"/>
  <c r="O92" i="5" s="1"/>
  <c r="F92" i="5"/>
  <c r="G92" i="5" s="1"/>
  <c r="H92" i="5" s="1"/>
  <c r="K91" i="5"/>
  <c r="M91" i="5" s="1"/>
  <c r="J91" i="5"/>
  <c r="O91" i="5" s="1"/>
  <c r="I91" i="5"/>
  <c r="F91" i="5"/>
  <c r="K89" i="5"/>
  <c r="M89" i="5" s="1"/>
  <c r="J89" i="5"/>
  <c r="O89" i="5" s="1"/>
  <c r="G89" i="5"/>
  <c r="H89" i="5" s="1"/>
  <c r="F89" i="5"/>
  <c r="O88" i="5"/>
  <c r="M88" i="5"/>
  <c r="N88" i="5" s="1"/>
  <c r="K88" i="5"/>
  <c r="L88" i="5" s="1"/>
  <c r="J88" i="5"/>
  <c r="F88" i="5"/>
  <c r="K87" i="5"/>
  <c r="M87" i="5" s="1"/>
  <c r="J87" i="5"/>
  <c r="O87" i="5" s="1"/>
  <c r="F87" i="5"/>
  <c r="K86" i="5"/>
  <c r="L86" i="5" s="1"/>
  <c r="J86" i="5"/>
  <c r="O86" i="5" s="1"/>
  <c r="F86" i="5"/>
  <c r="K85" i="5"/>
  <c r="M85" i="5" s="1"/>
  <c r="J85" i="5"/>
  <c r="O85" i="5" s="1"/>
  <c r="G85" i="5"/>
  <c r="H85" i="5" s="1"/>
  <c r="F85" i="5"/>
  <c r="O84" i="5"/>
  <c r="M84" i="5"/>
  <c r="N84" i="5" s="1"/>
  <c r="K84" i="5"/>
  <c r="L84" i="5" s="1"/>
  <c r="J84" i="5"/>
  <c r="F84" i="5"/>
  <c r="K83" i="5"/>
  <c r="M83" i="5" s="1"/>
  <c r="J83" i="5"/>
  <c r="O83" i="5" s="1"/>
  <c r="F83" i="5"/>
  <c r="K82" i="5"/>
  <c r="M82" i="5" s="1"/>
  <c r="J82" i="5"/>
  <c r="O82" i="5" s="1"/>
  <c r="F82" i="5"/>
  <c r="K81" i="5"/>
  <c r="M81" i="5" s="1"/>
  <c r="J81" i="5"/>
  <c r="O81" i="5" s="1"/>
  <c r="G81" i="5"/>
  <c r="H81" i="5" s="1"/>
  <c r="F81" i="5"/>
  <c r="O80" i="5"/>
  <c r="M80" i="5"/>
  <c r="N80" i="5" s="1"/>
  <c r="K80" i="5"/>
  <c r="L80" i="5" s="1"/>
  <c r="J80" i="5"/>
  <c r="F80" i="5"/>
  <c r="K79" i="5"/>
  <c r="M79" i="5" s="1"/>
  <c r="J79" i="5"/>
  <c r="O79" i="5" s="1"/>
  <c r="F79" i="5"/>
  <c r="G79" i="5" s="1"/>
  <c r="H79" i="5" s="1"/>
  <c r="K78" i="5"/>
  <c r="M78" i="5" s="1"/>
  <c r="J78" i="5"/>
  <c r="O78" i="5" s="1"/>
  <c r="F78" i="5"/>
  <c r="K77" i="5"/>
  <c r="M77" i="5" s="1"/>
  <c r="J77" i="5"/>
  <c r="O77" i="5" s="1"/>
  <c r="G77" i="5"/>
  <c r="H77" i="5" s="1"/>
  <c r="F77" i="5"/>
  <c r="O76" i="5"/>
  <c r="M76" i="5"/>
  <c r="N76" i="5" s="1"/>
  <c r="K76" i="5"/>
  <c r="L76" i="5" s="1"/>
  <c r="J76" i="5"/>
  <c r="F76" i="5"/>
  <c r="K75" i="5"/>
  <c r="M75" i="5" s="1"/>
  <c r="J75" i="5"/>
  <c r="O75" i="5" s="1"/>
  <c r="F75" i="5"/>
  <c r="K74" i="5"/>
  <c r="M74" i="5" s="1"/>
  <c r="J74" i="5"/>
  <c r="O74" i="5" s="1"/>
  <c r="F74" i="5"/>
  <c r="K73" i="5"/>
  <c r="M73" i="5" s="1"/>
  <c r="J73" i="5"/>
  <c r="O73" i="5" s="1"/>
  <c r="G73" i="5"/>
  <c r="H73" i="5" s="1"/>
  <c r="F73" i="5"/>
  <c r="O72" i="5"/>
  <c r="M72" i="5"/>
  <c r="N72" i="5" s="1"/>
  <c r="K72" i="5"/>
  <c r="L72" i="5" s="1"/>
  <c r="J72" i="5"/>
  <c r="F72" i="5"/>
  <c r="K71" i="5"/>
  <c r="M71" i="5" s="1"/>
  <c r="J71" i="5"/>
  <c r="O71" i="5" s="1"/>
  <c r="I71" i="5"/>
  <c r="F71" i="5"/>
  <c r="M70" i="5"/>
  <c r="N70" i="5" s="1"/>
  <c r="L70" i="5"/>
  <c r="I70" i="5"/>
  <c r="K70" i="5" s="1"/>
  <c r="F70" i="5"/>
  <c r="G70" i="5" s="1"/>
  <c r="H70" i="5" s="1"/>
  <c r="K69" i="5"/>
  <c r="M69" i="5" s="1"/>
  <c r="J69" i="5"/>
  <c r="O69" i="5" s="1"/>
  <c r="I69" i="5"/>
  <c r="F69" i="5"/>
  <c r="J68" i="5"/>
  <c r="O68" i="5" s="1"/>
  <c r="I68" i="5"/>
  <c r="K68" i="5" s="1"/>
  <c r="F68" i="5"/>
  <c r="G68" i="5" s="1"/>
  <c r="H68" i="5" s="1"/>
  <c r="O66" i="5"/>
  <c r="K66" i="5"/>
  <c r="M66" i="5" s="1"/>
  <c r="J66" i="5"/>
  <c r="F66" i="5"/>
  <c r="G66" i="5" s="1"/>
  <c r="O65" i="5"/>
  <c r="M65" i="5"/>
  <c r="L65" i="5"/>
  <c r="K65" i="5"/>
  <c r="J65" i="5"/>
  <c r="F65" i="5"/>
  <c r="M64" i="5"/>
  <c r="N64" i="5" s="1"/>
  <c r="L64" i="5"/>
  <c r="K64" i="5"/>
  <c r="J64" i="5"/>
  <c r="O64" i="5" s="1"/>
  <c r="G64" i="5"/>
  <c r="H64" i="5" s="1"/>
  <c r="F64" i="5"/>
  <c r="K63" i="5"/>
  <c r="I63" i="5"/>
  <c r="J63" i="5" s="1"/>
  <c r="O63" i="5" s="1"/>
  <c r="F63" i="5"/>
  <c r="O62" i="5"/>
  <c r="K62" i="5"/>
  <c r="M62" i="5" s="1"/>
  <c r="J62" i="5"/>
  <c r="F62" i="5"/>
  <c r="G62" i="5" s="1"/>
  <c r="O61" i="5"/>
  <c r="N61" i="5"/>
  <c r="M61" i="5"/>
  <c r="L61" i="5"/>
  <c r="K61" i="5"/>
  <c r="J61" i="5"/>
  <c r="F61" i="5"/>
  <c r="K60" i="5"/>
  <c r="L60" i="5" s="1"/>
  <c r="J60" i="5"/>
  <c r="O60" i="5" s="1"/>
  <c r="F60" i="5"/>
  <c r="G60" i="5" s="1"/>
  <c r="H60" i="5" s="1"/>
  <c r="K59" i="5"/>
  <c r="M59" i="5" s="1"/>
  <c r="J59" i="5"/>
  <c r="O59" i="5" s="1"/>
  <c r="G59" i="5"/>
  <c r="F59" i="5"/>
  <c r="O58" i="5"/>
  <c r="K58" i="5"/>
  <c r="M58" i="5" s="1"/>
  <c r="J58" i="5"/>
  <c r="F58" i="5"/>
  <c r="O57" i="5"/>
  <c r="M57" i="5"/>
  <c r="N57" i="5" s="1"/>
  <c r="L57" i="5"/>
  <c r="K57" i="5"/>
  <c r="J57" i="5"/>
  <c r="F57" i="5"/>
  <c r="K56" i="5"/>
  <c r="L56" i="5" s="1"/>
  <c r="J56" i="5"/>
  <c r="O56" i="5" s="1"/>
  <c r="H56" i="5"/>
  <c r="F56" i="5"/>
  <c r="G56" i="5" s="1"/>
  <c r="L55" i="5"/>
  <c r="K55" i="5"/>
  <c r="M55" i="5" s="1"/>
  <c r="N55" i="5" s="1"/>
  <c r="J55" i="5"/>
  <c r="O55" i="5" s="1"/>
  <c r="F55" i="5"/>
  <c r="O54" i="5"/>
  <c r="K54" i="5"/>
  <c r="M54" i="5" s="1"/>
  <c r="J54" i="5"/>
  <c r="F54" i="5"/>
  <c r="G54" i="5" s="1"/>
  <c r="O53" i="5"/>
  <c r="M53" i="5"/>
  <c r="N53" i="5" s="1"/>
  <c r="L53" i="5"/>
  <c r="K53" i="5"/>
  <c r="J53" i="5"/>
  <c r="F53" i="5"/>
  <c r="K52" i="5"/>
  <c r="L52" i="5" s="1"/>
  <c r="J52" i="5"/>
  <c r="O52" i="5" s="1"/>
  <c r="F52" i="5"/>
  <c r="G52" i="5" s="1"/>
  <c r="H52" i="5" s="1"/>
  <c r="K51" i="5"/>
  <c r="M51" i="5" s="1"/>
  <c r="J51" i="5"/>
  <c r="O51" i="5" s="1"/>
  <c r="F51" i="5"/>
  <c r="O50" i="5"/>
  <c r="M50" i="5"/>
  <c r="K50" i="5"/>
  <c r="L50" i="5" s="1"/>
  <c r="J50" i="5"/>
  <c r="F50" i="5"/>
  <c r="G50" i="5" s="1"/>
  <c r="H50" i="5" s="1"/>
  <c r="O49" i="5"/>
  <c r="M49" i="5"/>
  <c r="N49" i="5" s="1"/>
  <c r="L49" i="5"/>
  <c r="K49" i="5"/>
  <c r="J49" i="5"/>
  <c r="F49" i="5"/>
  <c r="O48" i="5"/>
  <c r="M48" i="5"/>
  <c r="N48" i="5" s="1"/>
  <c r="K48" i="5"/>
  <c r="L48" i="5" s="1"/>
  <c r="J48" i="5"/>
  <c r="F48" i="5"/>
  <c r="G48" i="5" s="1"/>
  <c r="H48" i="5" s="1"/>
  <c r="K46" i="5"/>
  <c r="M46" i="5" s="1"/>
  <c r="J46" i="5"/>
  <c r="O46" i="5" s="1"/>
  <c r="F46" i="5"/>
  <c r="I45" i="5"/>
  <c r="H45" i="5"/>
  <c r="G45" i="5"/>
  <c r="F45" i="5"/>
  <c r="O44" i="5"/>
  <c r="M44" i="5"/>
  <c r="N44" i="5" s="1"/>
  <c r="K44" i="5"/>
  <c r="L44" i="5" s="1"/>
  <c r="J44" i="5"/>
  <c r="F44" i="5"/>
  <c r="O43" i="5"/>
  <c r="K43" i="5"/>
  <c r="M43" i="5" s="1"/>
  <c r="J43" i="5"/>
  <c r="G43" i="5"/>
  <c r="F43" i="5"/>
  <c r="H43" i="5" s="1"/>
  <c r="I42" i="5"/>
  <c r="J42" i="5" s="1"/>
  <c r="O42" i="5" s="1"/>
  <c r="G42" i="5"/>
  <c r="H42" i="5" s="1"/>
  <c r="F42" i="5"/>
  <c r="K41" i="5"/>
  <c r="J41" i="5"/>
  <c r="O41" i="5" s="1"/>
  <c r="F41" i="5"/>
  <c r="G41" i="5" s="1"/>
  <c r="O40" i="5"/>
  <c r="L40" i="5"/>
  <c r="K40" i="5"/>
  <c r="M40" i="5" s="1"/>
  <c r="N40" i="5" s="1"/>
  <c r="J40" i="5"/>
  <c r="F40" i="5"/>
  <c r="O38" i="5"/>
  <c r="M38" i="5"/>
  <c r="K38" i="5"/>
  <c r="L38" i="5" s="1"/>
  <c r="J38" i="5"/>
  <c r="H38" i="5"/>
  <c r="G38" i="5"/>
  <c r="F38" i="5"/>
  <c r="M37" i="5"/>
  <c r="N37" i="5" s="1"/>
  <c r="L37" i="5"/>
  <c r="K37" i="5"/>
  <c r="J37" i="5"/>
  <c r="O37" i="5" s="1"/>
  <c r="G37" i="5"/>
  <c r="H37" i="5" s="1"/>
  <c r="F37" i="5"/>
  <c r="K36" i="5"/>
  <c r="J36" i="5"/>
  <c r="O36" i="5" s="1"/>
  <c r="F36" i="5"/>
  <c r="G36" i="5" s="1"/>
  <c r="I35" i="5"/>
  <c r="G35" i="5"/>
  <c r="H35" i="5" s="1"/>
  <c r="F35" i="5"/>
  <c r="O34" i="5"/>
  <c r="M34" i="5"/>
  <c r="N34" i="5" s="1"/>
  <c r="L34" i="5"/>
  <c r="K34" i="5"/>
  <c r="J34" i="5"/>
  <c r="F34" i="5"/>
  <c r="O33" i="5"/>
  <c r="K33" i="5"/>
  <c r="L33" i="5" s="1"/>
  <c r="J33" i="5"/>
  <c r="F33" i="5"/>
  <c r="G33" i="5" s="1"/>
  <c r="H33" i="5" s="1"/>
  <c r="K32" i="5"/>
  <c r="M32" i="5" s="1"/>
  <c r="J32" i="5"/>
  <c r="O32" i="5" s="1"/>
  <c r="F32" i="5"/>
  <c r="G32" i="5" s="1"/>
  <c r="O31" i="5"/>
  <c r="L31" i="5"/>
  <c r="K31" i="5"/>
  <c r="M31" i="5" s="1"/>
  <c r="N31" i="5" s="1"/>
  <c r="J31" i="5"/>
  <c r="F31" i="5"/>
  <c r="O30" i="5"/>
  <c r="M30" i="5"/>
  <c r="N30" i="5" s="1"/>
  <c r="L30" i="5"/>
  <c r="K30" i="5"/>
  <c r="J30" i="5"/>
  <c r="F30" i="5"/>
  <c r="O29" i="5"/>
  <c r="J29" i="5"/>
  <c r="I29" i="5"/>
  <c r="K29" i="5" s="1"/>
  <c r="F29" i="5"/>
  <c r="I28" i="5"/>
  <c r="J28" i="5" s="1"/>
  <c r="O28" i="5" s="1"/>
  <c r="H28" i="5"/>
  <c r="G28" i="5"/>
  <c r="F28" i="5"/>
  <c r="I27" i="5"/>
  <c r="K27" i="5" s="1"/>
  <c r="F27" i="5"/>
  <c r="G27" i="5" s="1"/>
  <c r="L26" i="5"/>
  <c r="K26" i="5"/>
  <c r="M26" i="5" s="1"/>
  <c r="N26" i="5" s="1"/>
  <c r="J26" i="5"/>
  <c r="O26" i="5" s="1"/>
  <c r="F26" i="5"/>
  <c r="O25" i="5"/>
  <c r="M25" i="5"/>
  <c r="N25" i="5" s="1"/>
  <c r="L25" i="5"/>
  <c r="K25" i="5"/>
  <c r="J25" i="5"/>
  <c r="F25" i="5"/>
  <c r="I24" i="5"/>
  <c r="K24" i="5" s="1"/>
  <c r="F24" i="5"/>
  <c r="I23" i="5"/>
  <c r="J23" i="5" s="1"/>
  <c r="O23" i="5" s="1"/>
  <c r="G23" i="5"/>
  <c r="H23" i="5" s="1"/>
  <c r="F23" i="5"/>
  <c r="K22" i="5"/>
  <c r="M22" i="5" s="1"/>
  <c r="J22" i="5"/>
  <c r="O22" i="5" s="1"/>
  <c r="F22" i="5"/>
  <c r="G22" i="5" s="1"/>
  <c r="I21" i="5"/>
  <c r="F21" i="5"/>
  <c r="F5" i="5" s="1"/>
  <c r="I20" i="5"/>
  <c r="K20" i="5" s="1"/>
  <c r="M20" i="5" s="1"/>
  <c r="F20" i="5"/>
  <c r="G20" i="5" s="1"/>
  <c r="K19" i="5"/>
  <c r="M19" i="5" s="1"/>
  <c r="J19" i="5"/>
  <c r="O19" i="5" s="1"/>
  <c r="I19" i="5"/>
  <c r="G19" i="5"/>
  <c r="F19" i="5"/>
  <c r="H19" i="5" s="1"/>
  <c r="M18" i="5"/>
  <c r="N18" i="5" s="1"/>
  <c r="L18" i="5"/>
  <c r="K18" i="5"/>
  <c r="J18" i="5"/>
  <c r="O18" i="5" s="1"/>
  <c r="G18" i="5"/>
  <c r="H18" i="5" s="1"/>
  <c r="F18" i="5"/>
  <c r="I17" i="5"/>
  <c r="K17" i="5" s="1"/>
  <c r="F17" i="5"/>
  <c r="I16" i="5"/>
  <c r="K16" i="5" s="1"/>
  <c r="G16" i="5"/>
  <c r="H16" i="5" s="1"/>
  <c r="F16" i="5"/>
  <c r="O15" i="5"/>
  <c r="J15" i="5"/>
  <c r="I15" i="5"/>
  <c r="K15" i="5" s="1"/>
  <c r="L15" i="5" s="1"/>
  <c r="F15" i="5"/>
  <c r="O10" i="5"/>
  <c r="K10" i="5"/>
  <c r="M10" i="5" s="1"/>
  <c r="J10" i="5"/>
  <c r="G10" i="5"/>
  <c r="F10" i="5"/>
  <c r="H10" i="5" s="1"/>
  <c r="M9" i="5"/>
  <c r="N9" i="5" s="1"/>
  <c r="L9" i="5"/>
  <c r="K9" i="5"/>
  <c r="J9" i="5"/>
  <c r="O9" i="5" s="1"/>
  <c r="G9" i="5"/>
  <c r="F9" i="5"/>
  <c r="L6" i="5"/>
  <c r="K6" i="5"/>
  <c r="J6" i="5"/>
  <c r="O6" i="5" s="1"/>
  <c r="F6" i="5"/>
  <c r="G6" i="5" s="1"/>
  <c r="K165" i="4"/>
  <c r="M165" i="4" s="1"/>
  <c r="J165" i="4"/>
  <c r="O165" i="4" s="1"/>
  <c r="F165" i="4"/>
  <c r="O164" i="4"/>
  <c r="K164" i="4"/>
  <c r="M164" i="4" s="1"/>
  <c r="J164" i="4"/>
  <c r="F164" i="4"/>
  <c r="O163" i="4"/>
  <c r="K163" i="4"/>
  <c r="M163" i="4" s="1"/>
  <c r="J163" i="4"/>
  <c r="F163" i="4"/>
  <c r="K161" i="4"/>
  <c r="J161" i="4"/>
  <c r="O161" i="4" s="1"/>
  <c r="H161" i="4"/>
  <c r="G161" i="4"/>
  <c r="F161" i="4"/>
  <c r="K160" i="4"/>
  <c r="M160" i="4" s="1"/>
  <c r="J160" i="4"/>
  <c r="O160" i="4" s="1"/>
  <c r="F160" i="4"/>
  <c r="O159" i="4"/>
  <c r="K159" i="4"/>
  <c r="M159" i="4" s="1"/>
  <c r="J159" i="4"/>
  <c r="F159" i="4"/>
  <c r="O158" i="4"/>
  <c r="K158" i="4"/>
  <c r="M158" i="4" s="1"/>
  <c r="J158" i="4"/>
  <c r="F158" i="4"/>
  <c r="I157" i="4"/>
  <c r="K157" i="4" s="1"/>
  <c r="H157" i="4"/>
  <c r="G157" i="4"/>
  <c r="F157" i="4"/>
  <c r="I156" i="4"/>
  <c r="K156" i="4" s="1"/>
  <c r="F156" i="4"/>
  <c r="I155" i="4"/>
  <c r="G155" i="4"/>
  <c r="F155" i="4"/>
  <c r="H155" i="4" s="1"/>
  <c r="O154" i="4"/>
  <c r="K154" i="4"/>
  <c r="M154" i="4" s="1"/>
  <c r="J154" i="4"/>
  <c r="F154" i="4"/>
  <c r="G154" i="4" s="1"/>
  <c r="J151" i="4"/>
  <c r="O151" i="4" s="1"/>
  <c r="O149" i="4"/>
  <c r="K149" i="4"/>
  <c r="M149" i="4" s="1"/>
  <c r="J149" i="4"/>
  <c r="F149" i="4"/>
  <c r="O147" i="4"/>
  <c r="K147" i="4"/>
  <c r="L147" i="4" s="1"/>
  <c r="J147" i="4"/>
  <c r="F147" i="4"/>
  <c r="K145" i="4"/>
  <c r="M145" i="4" s="1"/>
  <c r="J145" i="4"/>
  <c r="O145" i="4" s="1"/>
  <c r="G145" i="4"/>
  <c r="H145" i="4" s="1"/>
  <c r="F145" i="4"/>
  <c r="K143" i="4"/>
  <c r="M143" i="4" s="1"/>
  <c r="J143" i="4"/>
  <c r="O143" i="4" s="1"/>
  <c r="F143" i="4"/>
  <c r="O141" i="4"/>
  <c r="K141" i="4"/>
  <c r="M141" i="4" s="1"/>
  <c r="J141" i="4"/>
  <c r="F141" i="4"/>
  <c r="O139" i="4"/>
  <c r="K139" i="4"/>
  <c r="L139" i="4" s="1"/>
  <c r="J139" i="4"/>
  <c r="F139" i="4"/>
  <c r="M137" i="4"/>
  <c r="K137" i="4"/>
  <c r="L137" i="4" s="1"/>
  <c r="J137" i="4"/>
  <c r="O137" i="4" s="1"/>
  <c r="G137" i="4"/>
  <c r="H137" i="4" s="1"/>
  <c r="F137" i="4"/>
  <c r="J136" i="4"/>
  <c r="E136" i="4"/>
  <c r="K136" i="4" s="1"/>
  <c r="I135" i="4"/>
  <c r="J135" i="4" s="1"/>
  <c r="O135" i="4" s="1"/>
  <c r="E135" i="4"/>
  <c r="K135" i="4" s="1"/>
  <c r="J134" i="4"/>
  <c r="E134" i="4"/>
  <c r="K134" i="4" s="1"/>
  <c r="O133" i="4"/>
  <c r="M133" i="4"/>
  <c r="N133" i="4" s="1"/>
  <c r="L133" i="4"/>
  <c r="J133" i="4"/>
  <c r="E133" i="4"/>
  <c r="K133" i="4" s="1"/>
  <c r="K132" i="4"/>
  <c r="L132" i="4" s="1"/>
  <c r="J132" i="4"/>
  <c r="O132" i="4" s="1"/>
  <c r="E132" i="4"/>
  <c r="F132" i="4" s="1"/>
  <c r="M131" i="4"/>
  <c r="K131" i="4"/>
  <c r="L131" i="4" s="1"/>
  <c r="J131" i="4"/>
  <c r="O131" i="4" s="1"/>
  <c r="G131" i="4"/>
  <c r="E131" i="4"/>
  <c r="F131" i="4" s="1"/>
  <c r="H131" i="4" s="1"/>
  <c r="J130" i="4"/>
  <c r="E130" i="4"/>
  <c r="J129" i="4"/>
  <c r="O129" i="4" s="1"/>
  <c r="E129" i="4"/>
  <c r="K129" i="4" s="1"/>
  <c r="J126" i="4"/>
  <c r="E126" i="4"/>
  <c r="K126" i="4" s="1"/>
  <c r="I125" i="4"/>
  <c r="K125" i="4" s="1"/>
  <c r="M125" i="4" s="1"/>
  <c r="E125" i="4"/>
  <c r="F125" i="4" s="1"/>
  <c r="O123" i="4"/>
  <c r="K123" i="4"/>
  <c r="L123" i="4" s="1"/>
  <c r="J123" i="4"/>
  <c r="E123" i="4"/>
  <c r="F123" i="4" s="1"/>
  <c r="M122" i="4"/>
  <c r="K122" i="4"/>
  <c r="L122" i="4" s="1"/>
  <c r="J122" i="4"/>
  <c r="O122" i="4" s="1"/>
  <c r="H122" i="4"/>
  <c r="E122" i="4"/>
  <c r="F122" i="4" s="1"/>
  <c r="G122" i="4" s="1"/>
  <c r="K120" i="4"/>
  <c r="M120" i="4" s="1"/>
  <c r="J120" i="4"/>
  <c r="O120" i="4" s="1"/>
  <c r="F120" i="4"/>
  <c r="E120" i="4"/>
  <c r="J119" i="4"/>
  <c r="O119" i="4" s="1"/>
  <c r="F119" i="4"/>
  <c r="G119" i="4" s="1"/>
  <c r="H119" i="4" s="1"/>
  <c r="E119" i="4"/>
  <c r="K119" i="4" s="1"/>
  <c r="J118" i="4"/>
  <c r="E118" i="4"/>
  <c r="K118" i="4" s="1"/>
  <c r="O117" i="4"/>
  <c r="J117" i="4"/>
  <c r="E117" i="4"/>
  <c r="O113" i="4"/>
  <c r="K113" i="4"/>
  <c r="L113" i="4" s="1"/>
  <c r="J113" i="4"/>
  <c r="E113" i="4"/>
  <c r="F113" i="4" s="1"/>
  <c r="K112" i="4"/>
  <c r="M112" i="4" s="1"/>
  <c r="I112" i="4"/>
  <c r="J112" i="4" s="1"/>
  <c r="O112" i="4" s="1"/>
  <c r="E112" i="4"/>
  <c r="F112" i="4" s="1"/>
  <c r="K111" i="4"/>
  <c r="M111" i="4" s="1"/>
  <c r="J111" i="4"/>
  <c r="O111" i="4" s="1"/>
  <c r="E111" i="4"/>
  <c r="F111" i="4" s="1"/>
  <c r="K110" i="4"/>
  <c r="J110" i="4"/>
  <c r="O110" i="4" s="1"/>
  <c r="E110" i="4"/>
  <c r="F110" i="4" s="1"/>
  <c r="J109" i="4"/>
  <c r="E109" i="4"/>
  <c r="I108" i="4"/>
  <c r="J108" i="4" s="1"/>
  <c r="O108" i="4" s="1"/>
  <c r="F108" i="4"/>
  <c r="E108" i="4"/>
  <c r="K108" i="4" s="1"/>
  <c r="J107" i="4"/>
  <c r="E107" i="4"/>
  <c r="O106" i="4"/>
  <c r="N106" i="4"/>
  <c r="M106" i="4"/>
  <c r="L106" i="4"/>
  <c r="K106" i="4"/>
  <c r="J106" i="4"/>
  <c r="E106" i="4"/>
  <c r="F106" i="4" s="1"/>
  <c r="G105" i="4"/>
  <c r="H105" i="4" s="1"/>
  <c r="O104" i="4"/>
  <c r="K104" i="4"/>
  <c r="J104" i="4"/>
  <c r="F104" i="4"/>
  <c r="M102" i="4"/>
  <c r="K102" i="4"/>
  <c r="L102" i="4" s="1"/>
  <c r="J102" i="4"/>
  <c r="O102" i="4" s="1"/>
  <c r="E102" i="4"/>
  <c r="F102" i="4" s="1"/>
  <c r="G102" i="4" s="1"/>
  <c r="J101" i="4"/>
  <c r="E101" i="4"/>
  <c r="K101" i="4" s="1"/>
  <c r="J100" i="4"/>
  <c r="E100" i="4"/>
  <c r="K100" i="4" s="1"/>
  <c r="I96" i="4"/>
  <c r="F96" i="4"/>
  <c r="G96" i="4" s="1"/>
  <c r="E96" i="4"/>
  <c r="I95" i="4"/>
  <c r="E95" i="4"/>
  <c r="F95" i="4" s="1"/>
  <c r="I94" i="4"/>
  <c r="E94" i="4"/>
  <c r="F94" i="4" s="1"/>
  <c r="O92" i="4"/>
  <c r="K92" i="4"/>
  <c r="M92" i="4" s="1"/>
  <c r="I92" i="4"/>
  <c r="J92" i="4" s="1"/>
  <c r="E92" i="4"/>
  <c r="F92" i="4" s="1"/>
  <c r="M91" i="4"/>
  <c r="K91" i="4"/>
  <c r="L91" i="4" s="1"/>
  <c r="J91" i="4"/>
  <c r="O91" i="4" s="1"/>
  <c r="I91" i="4"/>
  <c r="E91" i="4"/>
  <c r="F91" i="4" s="1"/>
  <c r="I90" i="4"/>
  <c r="J90" i="4" s="1"/>
  <c r="O90" i="4" s="1"/>
  <c r="E90" i="4"/>
  <c r="F90" i="4" s="1"/>
  <c r="K88" i="4"/>
  <c r="M88" i="4" s="1"/>
  <c r="I88" i="4"/>
  <c r="J88" i="4" s="1"/>
  <c r="O88" i="4" s="1"/>
  <c r="F88" i="4"/>
  <c r="G88" i="4" s="1"/>
  <c r="H88" i="4" s="1"/>
  <c r="I87" i="4"/>
  <c r="J87" i="4" s="1"/>
  <c r="O87" i="4" s="1"/>
  <c r="G87" i="4"/>
  <c r="F87" i="4"/>
  <c r="I86" i="4"/>
  <c r="F86" i="4"/>
  <c r="G86" i="4" s="1"/>
  <c r="H86" i="4" s="1"/>
  <c r="I85" i="4"/>
  <c r="K85" i="4" s="1"/>
  <c r="F85" i="4"/>
  <c r="I83" i="4"/>
  <c r="K83" i="4" s="1"/>
  <c r="M83" i="4" s="1"/>
  <c r="E83" i="4"/>
  <c r="F83" i="4" s="1"/>
  <c r="K82" i="4"/>
  <c r="L82" i="4" s="1"/>
  <c r="I82" i="4"/>
  <c r="J82" i="4" s="1"/>
  <c r="O82" i="4" s="1"/>
  <c r="E82" i="4"/>
  <c r="F82" i="4" s="1"/>
  <c r="O81" i="4"/>
  <c r="M81" i="4"/>
  <c r="N81" i="4" s="1"/>
  <c r="L81" i="4"/>
  <c r="K81" i="4"/>
  <c r="J81" i="4"/>
  <c r="I81" i="4"/>
  <c r="E81" i="4"/>
  <c r="F81" i="4" s="1"/>
  <c r="I79" i="4"/>
  <c r="K79" i="4" s="1"/>
  <c r="E79" i="4"/>
  <c r="F79" i="4" s="1"/>
  <c r="I78" i="4"/>
  <c r="K78" i="4" s="1"/>
  <c r="L78" i="4" s="1"/>
  <c r="E78" i="4"/>
  <c r="F78" i="4" s="1"/>
  <c r="G78" i="4" s="1"/>
  <c r="I77" i="4"/>
  <c r="K77" i="4" s="1"/>
  <c r="G77" i="4"/>
  <c r="H77" i="4" s="1"/>
  <c r="F77" i="4"/>
  <c r="E77" i="4"/>
  <c r="I75" i="4"/>
  <c r="J75" i="4" s="1"/>
  <c r="O75" i="4" s="1"/>
  <c r="F75" i="4"/>
  <c r="E75" i="4"/>
  <c r="I74" i="4"/>
  <c r="J74" i="4" s="1"/>
  <c r="O74" i="4" s="1"/>
  <c r="E74" i="4"/>
  <c r="F74" i="4" s="1"/>
  <c r="I73" i="4"/>
  <c r="E73" i="4"/>
  <c r="F73" i="4" s="1"/>
  <c r="I71" i="4"/>
  <c r="E71" i="4"/>
  <c r="F71" i="4" s="1"/>
  <c r="I70" i="4"/>
  <c r="E70" i="4"/>
  <c r="F70" i="4" s="1"/>
  <c r="I69" i="4"/>
  <c r="E69" i="4"/>
  <c r="F69" i="4" s="1"/>
  <c r="O67" i="4"/>
  <c r="M67" i="4"/>
  <c r="L67" i="4"/>
  <c r="J67" i="4"/>
  <c r="I67" i="4"/>
  <c r="K67" i="4" s="1"/>
  <c r="E67" i="4"/>
  <c r="F67" i="4" s="1"/>
  <c r="I66" i="4"/>
  <c r="J66" i="4" s="1"/>
  <c r="E66" i="4"/>
  <c r="O65" i="4"/>
  <c r="M65" i="4"/>
  <c r="N65" i="4" s="1"/>
  <c r="K65" i="4"/>
  <c r="L65" i="4" s="1"/>
  <c r="J65" i="4"/>
  <c r="I65" i="4"/>
  <c r="E65" i="4"/>
  <c r="F65" i="4" s="1"/>
  <c r="L64" i="4"/>
  <c r="L62" i="4"/>
  <c r="K62" i="4"/>
  <c r="M62" i="4" s="1"/>
  <c r="N62" i="4" s="1"/>
  <c r="J62" i="4"/>
  <c r="O62" i="4" s="1"/>
  <c r="E62" i="4"/>
  <c r="F62" i="4" s="1"/>
  <c r="K61" i="4"/>
  <c r="L61" i="4" s="1"/>
  <c r="J61" i="4"/>
  <c r="O61" i="4" s="1"/>
  <c r="E61" i="4"/>
  <c r="F61" i="4" s="1"/>
  <c r="K60" i="4"/>
  <c r="M60" i="4" s="1"/>
  <c r="J60" i="4"/>
  <c r="O60" i="4" s="1"/>
  <c r="E60" i="4"/>
  <c r="F60" i="4" s="1"/>
  <c r="J59" i="4"/>
  <c r="E59" i="4"/>
  <c r="O58" i="4"/>
  <c r="J58" i="4"/>
  <c r="F58" i="4"/>
  <c r="E58" i="4"/>
  <c r="K58" i="4" s="1"/>
  <c r="J56" i="4"/>
  <c r="E56" i="4"/>
  <c r="O55" i="4"/>
  <c r="M55" i="4"/>
  <c r="N55" i="4" s="1"/>
  <c r="K55" i="4"/>
  <c r="L55" i="4" s="1"/>
  <c r="J55" i="4"/>
  <c r="F55" i="4"/>
  <c r="E55" i="4"/>
  <c r="K54" i="4"/>
  <c r="J54" i="4"/>
  <c r="O54" i="4" s="1"/>
  <c r="G54" i="4"/>
  <c r="H54" i="4" s="1"/>
  <c r="E54" i="4"/>
  <c r="F54" i="4" s="1"/>
  <c r="J53" i="4"/>
  <c r="E53" i="4"/>
  <c r="K53" i="4" s="1"/>
  <c r="J52" i="4"/>
  <c r="O52" i="4" s="1"/>
  <c r="I52" i="4"/>
  <c r="K52" i="4" s="1"/>
  <c r="E52" i="4"/>
  <c r="F52" i="4" s="1"/>
  <c r="J50" i="4"/>
  <c r="E50" i="4"/>
  <c r="K50" i="4" s="1"/>
  <c r="O49" i="4"/>
  <c r="J49" i="4"/>
  <c r="I49" i="4"/>
  <c r="E49" i="4"/>
  <c r="F49" i="4" s="1"/>
  <c r="J48" i="4"/>
  <c r="E48" i="4"/>
  <c r="O47" i="4"/>
  <c r="K47" i="4"/>
  <c r="M47" i="4" s="1"/>
  <c r="J47" i="4"/>
  <c r="F47" i="4"/>
  <c r="E47" i="4"/>
  <c r="K45" i="4"/>
  <c r="M45" i="4" s="1"/>
  <c r="J45" i="4"/>
  <c r="O45" i="4" s="1"/>
  <c r="E45" i="4"/>
  <c r="F45" i="4" s="1"/>
  <c r="G45" i="4" s="1"/>
  <c r="H45" i="4" s="1"/>
  <c r="J44" i="4"/>
  <c r="E44" i="4"/>
  <c r="K44" i="4" s="1"/>
  <c r="I42" i="4"/>
  <c r="K42" i="4" s="1"/>
  <c r="E42" i="4"/>
  <c r="F42" i="4" s="1"/>
  <c r="G42" i="4" s="1"/>
  <c r="J41" i="4"/>
  <c r="E41" i="4"/>
  <c r="F41" i="4" s="1"/>
  <c r="O39" i="4"/>
  <c r="N39" i="4"/>
  <c r="M39" i="4"/>
  <c r="J39" i="4"/>
  <c r="E39" i="4"/>
  <c r="K39" i="4" s="1"/>
  <c r="L39" i="4" s="1"/>
  <c r="O38" i="4"/>
  <c r="K38" i="4"/>
  <c r="J38" i="4"/>
  <c r="E38" i="4"/>
  <c r="F38" i="4" s="1"/>
  <c r="O36" i="4"/>
  <c r="K36" i="4"/>
  <c r="M36" i="4" s="1"/>
  <c r="J36" i="4"/>
  <c r="E36" i="4"/>
  <c r="F36" i="4" s="1"/>
  <c r="G36" i="4" s="1"/>
  <c r="K35" i="4"/>
  <c r="M35" i="4" s="1"/>
  <c r="J35" i="4"/>
  <c r="O35" i="4" s="1"/>
  <c r="G35" i="4"/>
  <c r="H35" i="4" s="1"/>
  <c r="F35" i="4"/>
  <c r="E35" i="4"/>
  <c r="J33" i="4"/>
  <c r="E33" i="4"/>
  <c r="I32" i="4"/>
  <c r="E32" i="4"/>
  <c r="F32" i="4" s="1"/>
  <c r="J30" i="4"/>
  <c r="E30" i="4"/>
  <c r="O29" i="4"/>
  <c r="J29" i="4"/>
  <c r="E29" i="4"/>
  <c r="K28" i="4"/>
  <c r="M28" i="4" s="1"/>
  <c r="J28" i="4"/>
  <c r="O28" i="4" s="1"/>
  <c r="E28" i="4"/>
  <c r="F28" i="4" s="1"/>
  <c r="M24" i="4"/>
  <c r="N24" i="4" s="1"/>
  <c r="L24" i="4"/>
  <c r="K24" i="4"/>
  <c r="J24" i="4"/>
  <c r="O24" i="4" s="1"/>
  <c r="G24" i="4"/>
  <c r="H24" i="4" s="1"/>
  <c r="F24" i="4"/>
  <c r="I23" i="4"/>
  <c r="F23" i="4"/>
  <c r="G23" i="4" s="1"/>
  <c r="H23" i="4" s="1"/>
  <c r="O22" i="4"/>
  <c r="L22" i="4"/>
  <c r="K22" i="4"/>
  <c r="M22" i="4" s="1"/>
  <c r="N22" i="4" s="1"/>
  <c r="J22" i="4"/>
  <c r="F22" i="4"/>
  <c r="O21" i="4"/>
  <c r="M21" i="4"/>
  <c r="N21" i="4" s="1"/>
  <c r="L21" i="4"/>
  <c r="K21" i="4"/>
  <c r="J21" i="4"/>
  <c r="F21" i="4"/>
  <c r="I20" i="4"/>
  <c r="F20" i="4"/>
  <c r="K19" i="4"/>
  <c r="M19" i="4" s="1"/>
  <c r="J19" i="4"/>
  <c r="O19" i="4" s="1"/>
  <c r="F19" i="4"/>
  <c r="K18" i="4"/>
  <c r="M18" i="4" s="1"/>
  <c r="J18" i="4"/>
  <c r="O18" i="4" s="1"/>
  <c r="G18" i="4"/>
  <c r="F18" i="4"/>
  <c r="O17" i="4"/>
  <c r="M17" i="4"/>
  <c r="N17" i="4" s="1"/>
  <c r="J17" i="4"/>
  <c r="I17" i="4"/>
  <c r="K17" i="4" s="1"/>
  <c r="L17" i="4" s="1"/>
  <c r="F17" i="4"/>
  <c r="O16" i="4"/>
  <c r="K16" i="4"/>
  <c r="M16" i="4" s="1"/>
  <c r="J16" i="4"/>
  <c r="I16" i="4"/>
  <c r="F16" i="4"/>
  <c r="K15" i="4"/>
  <c r="M15" i="4" s="1"/>
  <c r="J15" i="4"/>
  <c r="O15" i="4" s="1"/>
  <c r="H15" i="4"/>
  <c r="G15" i="4"/>
  <c r="F15" i="4"/>
  <c r="K10" i="4"/>
  <c r="L10" i="4" s="1"/>
  <c r="J10" i="4"/>
  <c r="O10" i="4" s="1"/>
  <c r="F10" i="4"/>
  <c r="K9" i="4"/>
  <c r="M9" i="4" s="1"/>
  <c r="J9" i="4"/>
  <c r="O9" i="4" s="1"/>
  <c r="G9" i="4"/>
  <c r="F9" i="4"/>
  <c r="O6" i="4"/>
  <c r="M6" i="4"/>
  <c r="K6" i="4"/>
  <c r="L6" i="4" s="1"/>
  <c r="J6" i="4"/>
  <c r="F6" i="4"/>
  <c r="L29" i="5" l="1"/>
  <c r="M29" i="5"/>
  <c r="N29" i="5" s="1"/>
  <c r="N79" i="5"/>
  <c r="N43" i="5"/>
  <c r="H26" i="5"/>
  <c r="N83" i="5"/>
  <c r="N103" i="5"/>
  <c r="H15" i="5"/>
  <c r="H86" i="5"/>
  <c r="N66" i="5"/>
  <c r="H74" i="5"/>
  <c r="H91" i="5"/>
  <c r="H82" i="5"/>
  <c r="N19" i="5"/>
  <c r="L24" i="5"/>
  <c r="M24" i="5"/>
  <c r="N24" i="5" s="1"/>
  <c r="M27" i="5"/>
  <c r="L27" i="5"/>
  <c r="H58" i="5"/>
  <c r="N125" i="5"/>
  <c r="M17" i="5"/>
  <c r="L17" i="5"/>
  <c r="N71" i="5"/>
  <c r="N98" i="5"/>
  <c r="M33" i="5"/>
  <c r="N33" i="5" s="1"/>
  <c r="L41" i="5"/>
  <c r="M41" i="5"/>
  <c r="N41" i="5" s="1"/>
  <c r="G133" i="5"/>
  <c r="H133" i="5"/>
  <c r="L10" i="5"/>
  <c r="N10" i="5" s="1"/>
  <c r="G25" i="5"/>
  <c r="H25" i="5" s="1"/>
  <c r="G69" i="5"/>
  <c r="H69" i="5" s="1"/>
  <c r="L74" i="5"/>
  <c r="N74" i="5" s="1"/>
  <c r="L78" i="5"/>
  <c r="N78" i="5" s="1"/>
  <c r="L82" i="5"/>
  <c r="N82" i="5" s="1"/>
  <c r="N91" i="5"/>
  <c r="H99" i="5"/>
  <c r="H130" i="5"/>
  <c r="M86" i="5"/>
  <c r="N86" i="5" s="1"/>
  <c r="M99" i="5"/>
  <c r="L99" i="5"/>
  <c r="G46" i="5"/>
  <c r="H46" i="5" s="1"/>
  <c r="L130" i="5"/>
  <c r="N130" i="5" s="1"/>
  <c r="N38" i="5"/>
  <c r="G21" i="5"/>
  <c r="H21" i="5" s="1"/>
  <c r="G30" i="5"/>
  <c r="H30" i="5" s="1"/>
  <c r="K28" i="5"/>
  <c r="H54" i="5"/>
  <c r="G58" i="5"/>
  <c r="H9" i="5"/>
  <c r="K21" i="5"/>
  <c r="J21" i="5"/>
  <c r="O21" i="5" s="1"/>
  <c r="G40" i="5"/>
  <c r="H40" i="5" s="1"/>
  <c r="G130" i="5"/>
  <c r="M16" i="5"/>
  <c r="N16" i="5" s="1"/>
  <c r="L16" i="5"/>
  <c r="H62" i="5"/>
  <c r="K95" i="5"/>
  <c r="H22" i="5"/>
  <c r="J27" i="5"/>
  <c r="O27" i="5" s="1"/>
  <c r="L32" i="5"/>
  <c r="N32" i="5" s="1"/>
  <c r="L46" i="5"/>
  <c r="G55" i="5"/>
  <c r="H55" i="5" s="1"/>
  <c r="H59" i="5"/>
  <c r="L69" i="5"/>
  <c r="L71" i="5"/>
  <c r="L75" i="5"/>
  <c r="N75" i="5" s="1"/>
  <c r="L79" i="5"/>
  <c r="L83" i="5"/>
  <c r="L87" i="5"/>
  <c r="N87" i="5" s="1"/>
  <c r="G94" i="5"/>
  <c r="H94" i="5" s="1"/>
  <c r="G98" i="5"/>
  <c r="H98" i="5"/>
  <c r="H100" i="5"/>
  <c r="L43" i="5"/>
  <c r="H103" i="5"/>
  <c r="M119" i="5"/>
  <c r="L119" i="5"/>
  <c r="M56" i="5"/>
  <c r="N56" i="5" s="1"/>
  <c r="L91" i="5"/>
  <c r="G128" i="5"/>
  <c r="H128" i="5" s="1"/>
  <c r="H75" i="5"/>
  <c r="H87" i="5"/>
  <c r="L97" i="5"/>
  <c r="N97" i="5" s="1"/>
  <c r="H125" i="5"/>
  <c r="M114" i="5"/>
  <c r="N114" i="5" s="1"/>
  <c r="G15" i="5"/>
  <c r="H36" i="5"/>
  <c r="N69" i="5"/>
  <c r="N51" i="5"/>
  <c r="H63" i="5"/>
  <c r="M92" i="5"/>
  <c r="N92" i="5" s="1"/>
  <c r="H104" i="5"/>
  <c r="M115" i="5"/>
  <c r="L115" i="5"/>
  <c r="J118" i="5"/>
  <c r="O118" i="5" s="1"/>
  <c r="K118" i="5"/>
  <c r="L125" i="5"/>
  <c r="H132" i="5"/>
  <c r="L63" i="5"/>
  <c r="M63" i="5"/>
  <c r="N63" i="5" s="1"/>
  <c r="H97" i="5"/>
  <c r="H108" i="5"/>
  <c r="M52" i="5"/>
  <c r="N52" i="5" s="1"/>
  <c r="L19" i="5"/>
  <c r="H27" i="5"/>
  <c r="H83" i="5"/>
  <c r="G123" i="5"/>
  <c r="H123" i="5"/>
  <c r="H6" i="5"/>
  <c r="L20" i="5"/>
  <c r="N20" i="5" s="1"/>
  <c r="N22" i="5"/>
  <c r="J24" i="5"/>
  <c r="O24" i="5" s="1"/>
  <c r="G31" i="5"/>
  <c r="H31" i="5" s="1"/>
  <c r="L51" i="5"/>
  <c r="G63" i="5"/>
  <c r="L98" i="5"/>
  <c r="L100" i="5"/>
  <c r="M100" i="5"/>
  <c r="N100" i="5" s="1"/>
  <c r="J45" i="5"/>
  <c r="O45" i="5" s="1"/>
  <c r="K45" i="5"/>
  <c r="H95" i="5"/>
  <c r="H112" i="5"/>
  <c r="K35" i="5"/>
  <c r="J35" i="5"/>
  <c r="O35" i="5" s="1"/>
  <c r="L121" i="5"/>
  <c r="H32" i="5"/>
  <c r="N50" i="5"/>
  <c r="M60" i="5"/>
  <c r="N60" i="5" s="1"/>
  <c r="J16" i="5"/>
  <c r="O16" i="5" s="1"/>
  <c r="K42" i="5"/>
  <c r="G17" i="5"/>
  <c r="H17" i="5" s="1"/>
  <c r="L36" i="5"/>
  <c r="M36" i="5"/>
  <c r="N36" i="5" s="1"/>
  <c r="M15" i="5"/>
  <c r="N15" i="5" s="1"/>
  <c r="J17" i="5"/>
  <c r="O17" i="5" s="1"/>
  <c r="L22" i="5"/>
  <c r="G26" i="5"/>
  <c r="G72" i="5"/>
  <c r="H72" i="5" s="1"/>
  <c r="G74" i="5"/>
  <c r="G76" i="5"/>
  <c r="H76" i="5"/>
  <c r="G78" i="5"/>
  <c r="H78" i="5" s="1"/>
  <c r="G80" i="5"/>
  <c r="H80" i="5" s="1"/>
  <c r="G82" i="5"/>
  <c r="G84" i="5"/>
  <c r="H84" i="5" s="1"/>
  <c r="G86" i="5"/>
  <c r="G88" i="5"/>
  <c r="H88" i="5" s="1"/>
  <c r="G91" i="5"/>
  <c r="K96" i="5"/>
  <c r="L102" i="5"/>
  <c r="N102" i="5" s="1"/>
  <c r="L104" i="5"/>
  <c r="M104" i="5"/>
  <c r="N104" i="5" s="1"/>
  <c r="N107" i="5"/>
  <c r="M109" i="5"/>
  <c r="L109" i="5"/>
  <c r="L113" i="5"/>
  <c r="M113" i="5"/>
  <c r="N113" i="5" s="1"/>
  <c r="G119" i="5"/>
  <c r="H119" i="5" s="1"/>
  <c r="M132" i="5"/>
  <c r="L132" i="5"/>
  <c r="M127" i="5"/>
  <c r="L127" i="5"/>
  <c r="N65" i="5"/>
  <c r="N121" i="5"/>
  <c r="K23" i="5"/>
  <c r="H66" i="5"/>
  <c r="N124" i="5"/>
  <c r="G34" i="5"/>
  <c r="H34" i="5" s="1"/>
  <c r="G44" i="5"/>
  <c r="H44" i="5" s="1"/>
  <c r="H20" i="5"/>
  <c r="N46" i="5"/>
  <c r="G51" i="5"/>
  <c r="H51" i="5" s="1"/>
  <c r="M6" i="5"/>
  <c r="H41" i="5"/>
  <c r="L59" i="5"/>
  <c r="N59" i="5" s="1"/>
  <c r="M68" i="5"/>
  <c r="L68" i="5"/>
  <c r="J70" i="5"/>
  <c r="O70" i="5" s="1"/>
  <c r="H93" i="5"/>
  <c r="L107" i="5"/>
  <c r="L111" i="5"/>
  <c r="N111" i="5" s="1"/>
  <c r="G116" i="5"/>
  <c r="H116" i="5"/>
  <c r="G49" i="5"/>
  <c r="H49" i="5" s="1"/>
  <c r="G53" i="5"/>
  <c r="H53" i="5" s="1"/>
  <c r="G57" i="5"/>
  <c r="H57" i="5" s="1"/>
  <c r="G61" i="5"/>
  <c r="H61" i="5" s="1"/>
  <c r="L73" i="5"/>
  <c r="N73" i="5" s="1"/>
  <c r="L77" i="5"/>
  <c r="N77" i="5" s="1"/>
  <c r="L81" i="5"/>
  <c r="N81" i="5" s="1"/>
  <c r="L85" i="5"/>
  <c r="N85" i="5" s="1"/>
  <c r="L89" i="5"/>
  <c r="N89" i="5" s="1"/>
  <c r="G93" i="5"/>
  <c r="J99" i="5"/>
  <c r="O99" i="5" s="1"/>
  <c r="L124" i="5"/>
  <c r="L129" i="5"/>
  <c r="N129" i="5" s="1"/>
  <c r="L134" i="5"/>
  <c r="N134" i="5" s="1"/>
  <c r="L54" i="5"/>
  <c r="N54" i="5" s="1"/>
  <c r="L58" i="5"/>
  <c r="N58" i="5" s="1"/>
  <c r="L62" i="5"/>
  <c r="N62" i="5" s="1"/>
  <c r="G65" i="5"/>
  <c r="H65" i="5" s="1"/>
  <c r="G71" i="5"/>
  <c r="H71" i="5" s="1"/>
  <c r="J20" i="5"/>
  <c r="O20" i="5" s="1"/>
  <c r="O5" i="5" s="1"/>
  <c r="R5" i="5" s="1"/>
  <c r="G24" i="5"/>
  <c r="H24" i="5" s="1"/>
  <c r="G29" i="5"/>
  <c r="H29" i="5" s="1"/>
  <c r="L66" i="5"/>
  <c r="G75" i="5"/>
  <c r="G83" i="5"/>
  <c r="G87" i="5"/>
  <c r="G97" i="5"/>
  <c r="J98" i="5"/>
  <c r="O98" i="5" s="1"/>
  <c r="L103" i="5"/>
  <c r="L108" i="5"/>
  <c r="N108" i="5" s="1"/>
  <c r="L112" i="5"/>
  <c r="N112" i="5" s="1"/>
  <c r="G115" i="5"/>
  <c r="H115" i="5" s="1"/>
  <c r="G127" i="5"/>
  <c r="H127" i="5" s="1"/>
  <c r="G132" i="5"/>
  <c r="N141" i="4"/>
  <c r="H41" i="4"/>
  <c r="G41" i="4"/>
  <c r="N88" i="4"/>
  <c r="N149" i="4"/>
  <c r="N83" i="4"/>
  <c r="N122" i="4"/>
  <c r="N19" i="4"/>
  <c r="N45" i="4"/>
  <c r="M157" i="4"/>
  <c r="L157" i="4"/>
  <c r="G70" i="4"/>
  <c r="H70" i="4" s="1"/>
  <c r="N36" i="4"/>
  <c r="G73" i="4"/>
  <c r="H73" i="4"/>
  <c r="N112" i="4"/>
  <c r="N145" i="4"/>
  <c r="G60" i="4"/>
  <c r="H60" i="4" s="1"/>
  <c r="M161" i="4"/>
  <c r="L161" i="4"/>
  <c r="K33" i="4"/>
  <c r="F33" i="4"/>
  <c r="N16" i="4"/>
  <c r="L45" i="4"/>
  <c r="N67" i="4"/>
  <c r="G38" i="4"/>
  <c r="H38" i="4" s="1"/>
  <c r="G61" i="4"/>
  <c r="H61" i="4"/>
  <c r="M104" i="4"/>
  <c r="L104" i="4"/>
  <c r="M10" i="4"/>
  <c r="N10" i="4" s="1"/>
  <c r="M42" i="4"/>
  <c r="L42" i="4"/>
  <c r="G74" i="4"/>
  <c r="H74" i="4" s="1"/>
  <c r="G94" i="4"/>
  <c r="H94" i="4" s="1"/>
  <c r="F130" i="4"/>
  <c r="K130" i="4"/>
  <c r="H160" i="4"/>
  <c r="K30" i="4"/>
  <c r="F30" i="4"/>
  <c r="O30" i="4"/>
  <c r="K41" i="4"/>
  <c r="O41" i="4"/>
  <c r="K71" i="4"/>
  <c r="J71" i="4"/>
  <c r="O71" i="4" s="1"/>
  <c r="K155" i="4"/>
  <c r="J155" i="4"/>
  <c r="O155" i="4" s="1"/>
  <c r="H104" i="4"/>
  <c r="H19" i="4"/>
  <c r="M77" i="4"/>
  <c r="L77" i="4"/>
  <c r="L145" i="4"/>
  <c r="M44" i="4"/>
  <c r="L44" i="4"/>
  <c r="J157" i="4"/>
  <c r="O157" i="4" s="1"/>
  <c r="K74" i="4"/>
  <c r="J86" i="4"/>
  <c r="O86" i="4" s="1"/>
  <c r="K86" i="4"/>
  <c r="L125" i="4"/>
  <c r="N125" i="4" s="1"/>
  <c r="H96" i="4"/>
  <c r="N102" i="4"/>
  <c r="L156" i="4"/>
  <c r="M156" i="4"/>
  <c r="N156" i="4" s="1"/>
  <c r="L16" i="4"/>
  <c r="L60" i="4"/>
  <c r="N60" i="4" s="1"/>
  <c r="L88" i="4"/>
  <c r="G69" i="4"/>
  <c r="H69" i="4" s="1"/>
  <c r="G120" i="4"/>
  <c r="H120" i="4" s="1"/>
  <c r="L38" i="4"/>
  <c r="M38" i="4"/>
  <c r="N38" i="4" s="1"/>
  <c r="N111" i="4"/>
  <c r="M50" i="4"/>
  <c r="N50" i="4" s="1"/>
  <c r="L50" i="4"/>
  <c r="F101" i="4"/>
  <c r="N6" i="4"/>
  <c r="F44" i="4"/>
  <c r="F66" i="4"/>
  <c r="K66" i="4"/>
  <c r="M78" i="4"/>
  <c r="N78" i="4" s="1"/>
  <c r="G95" i="4"/>
  <c r="H95" i="4" s="1"/>
  <c r="H9" i="4"/>
  <c r="J20" i="4"/>
  <c r="O20" i="4" s="1"/>
  <c r="K20" i="4"/>
  <c r="G28" i="4"/>
  <c r="H28" i="4" s="1"/>
  <c r="G32" i="4"/>
  <c r="H32" i="4" s="1"/>
  <c r="L35" i="4"/>
  <c r="G52" i="4"/>
  <c r="H52" i="4" s="1"/>
  <c r="O66" i="4"/>
  <c r="G79" i="4"/>
  <c r="H79" i="4" s="1"/>
  <c r="H87" i="4"/>
  <c r="K109" i="4"/>
  <c r="F109" i="4"/>
  <c r="L112" i="4"/>
  <c r="H49" i="4"/>
  <c r="G49" i="4"/>
  <c r="N131" i="4"/>
  <c r="N137" i="4"/>
  <c r="J23" i="4"/>
  <c r="O23" i="4" s="1"/>
  <c r="O5" i="4" s="1"/>
  <c r="K23" i="4"/>
  <c r="L83" i="4"/>
  <c r="H159" i="4"/>
  <c r="G159" i="4"/>
  <c r="K56" i="4"/>
  <c r="F56" i="4"/>
  <c r="O56" i="4"/>
  <c r="G111" i="4"/>
  <c r="H111" i="4" s="1"/>
  <c r="N163" i="4"/>
  <c r="H42" i="4"/>
  <c r="J77" i="4"/>
  <c r="O77" i="4" s="1"/>
  <c r="H90" i="4"/>
  <c r="G90" i="4"/>
  <c r="G164" i="4"/>
  <c r="H164" i="4" s="1"/>
  <c r="L19" i="4"/>
  <c r="J42" i="4"/>
  <c r="O42" i="4" s="1"/>
  <c r="K94" i="4"/>
  <c r="L54" i="4"/>
  <c r="M54" i="4"/>
  <c r="N54" i="4" s="1"/>
  <c r="N164" i="4"/>
  <c r="M79" i="4"/>
  <c r="L79" i="4"/>
  <c r="N91" i="4"/>
  <c r="M53" i="4"/>
  <c r="L53" i="4"/>
  <c r="M110" i="4"/>
  <c r="L110" i="4"/>
  <c r="N92" i="4"/>
  <c r="L101" i="4"/>
  <c r="M101" i="4"/>
  <c r="N35" i="4"/>
  <c r="K48" i="4"/>
  <c r="F48" i="4"/>
  <c r="O48" i="4"/>
  <c r="K59" i="4"/>
  <c r="F59" i="4"/>
  <c r="G67" i="4"/>
  <c r="H67" i="4"/>
  <c r="H75" i="4"/>
  <c r="H16" i="4"/>
  <c r="H18" i="4"/>
  <c r="N28" i="4"/>
  <c r="J32" i="4"/>
  <c r="O32" i="4" s="1"/>
  <c r="K32" i="4"/>
  <c r="M52" i="4"/>
  <c r="N52" i="4" s="1"/>
  <c r="L52" i="4"/>
  <c r="G71" i="4"/>
  <c r="H71" i="4" s="1"/>
  <c r="J79" i="4"/>
  <c r="O79" i="4" s="1"/>
  <c r="G110" i="4"/>
  <c r="H110" i="4" s="1"/>
  <c r="N158" i="4"/>
  <c r="M136" i="4"/>
  <c r="L136" i="4"/>
  <c r="H85" i="4"/>
  <c r="F118" i="4"/>
  <c r="F136" i="4"/>
  <c r="G143" i="4"/>
  <c r="H143" i="4" s="1"/>
  <c r="G156" i="4"/>
  <c r="H156" i="4" s="1"/>
  <c r="L28" i="4"/>
  <c r="K73" i="4"/>
  <c r="G92" i="4"/>
  <c r="H92" i="4" s="1"/>
  <c r="N18" i="4"/>
  <c r="M100" i="4"/>
  <c r="L100" i="4"/>
  <c r="O130" i="4"/>
  <c r="G160" i="4"/>
  <c r="H81" i="4"/>
  <c r="G81" i="4"/>
  <c r="H102" i="4"/>
  <c r="M113" i="4"/>
  <c r="N113" i="4" s="1"/>
  <c r="L120" i="4"/>
  <c r="N120" i="4" s="1"/>
  <c r="M123" i="4"/>
  <c r="N123" i="4" s="1"/>
  <c r="M132" i="4"/>
  <c r="N132" i="4" s="1"/>
  <c r="O136" i="4"/>
  <c r="M139" i="4"/>
  <c r="N139" i="4" s="1"/>
  <c r="N143" i="4"/>
  <c r="M147" i="4"/>
  <c r="N147" i="4" s="1"/>
  <c r="J156" i="4"/>
  <c r="O156" i="4" s="1"/>
  <c r="G165" i="4"/>
  <c r="H165" i="4" s="1"/>
  <c r="G82" i="4"/>
  <c r="H82" i="4" s="1"/>
  <c r="O101" i="4"/>
  <c r="K107" i="4"/>
  <c r="F107" i="4"/>
  <c r="G113" i="4"/>
  <c r="H113" i="4" s="1"/>
  <c r="F53" i="4"/>
  <c r="G75" i="4"/>
  <c r="K90" i="4"/>
  <c r="F126" i="4"/>
  <c r="F134" i="4"/>
  <c r="N9" i="4"/>
  <c r="O59" i="4"/>
  <c r="H78" i="4"/>
  <c r="O53" i="4"/>
  <c r="F100" i="4"/>
  <c r="O107" i="4"/>
  <c r="O118" i="4"/>
  <c r="G6" i="4"/>
  <c r="G17" i="4"/>
  <c r="H17" i="4" s="1"/>
  <c r="G19" i="4"/>
  <c r="O50" i="4"/>
  <c r="M58" i="4"/>
  <c r="N58" i="4" s="1"/>
  <c r="L58" i="4"/>
  <c r="M61" i="4"/>
  <c r="N61" i="4" s="1"/>
  <c r="K69" i="4"/>
  <c r="K75" i="4"/>
  <c r="J78" i="4"/>
  <c r="O78" i="4" s="1"/>
  <c r="L92" i="4"/>
  <c r="K95" i="4"/>
  <c r="H106" i="4"/>
  <c r="G106" i="4"/>
  <c r="M108" i="4"/>
  <c r="L108" i="4"/>
  <c r="H112" i="4"/>
  <c r="G112" i="4"/>
  <c r="M119" i="4"/>
  <c r="L119" i="4"/>
  <c r="O126" i="4"/>
  <c r="O134" i="4"/>
  <c r="L158" i="4"/>
  <c r="L163" i="4"/>
  <c r="K96" i="4"/>
  <c r="G132" i="4"/>
  <c r="H132" i="4" s="1"/>
  <c r="F50" i="4"/>
  <c r="K70" i="4"/>
  <c r="M134" i="4"/>
  <c r="L134" i="4"/>
  <c r="G85" i="4"/>
  <c r="H154" i="4"/>
  <c r="G22" i="4"/>
  <c r="H22" i="4" s="1"/>
  <c r="H36" i="4"/>
  <c r="M85" i="4"/>
  <c r="L85" i="4"/>
  <c r="K87" i="4"/>
  <c r="L111" i="4"/>
  <c r="O33" i="4"/>
  <c r="M82" i="4"/>
  <c r="N82" i="4" s="1"/>
  <c r="G10" i="4"/>
  <c r="H10" i="4" s="1"/>
  <c r="K29" i="4"/>
  <c r="F29" i="4"/>
  <c r="L36" i="4"/>
  <c r="F39" i="4"/>
  <c r="L47" i="4"/>
  <c r="N47" i="4" s="1"/>
  <c r="G91" i="4"/>
  <c r="H91" i="4" s="1"/>
  <c r="H108" i="4"/>
  <c r="M129" i="4"/>
  <c r="L129" i="4"/>
  <c r="M135" i="4"/>
  <c r="L135" i="4"/>
  <c r="M118" i="4"/>
  <c r="L118" i="4"/>
  <c r="G123" i="4"/>
  <c r="H123" i="4" s="1"/>
  <c r="H139" i="4"/>
  <c r="M126" i="4"/>
  <c r="N126" i="4" s="1"/>
  <c r="L126" i="4"/>
  <c r="O44" i="4"/>
  <c r="G65" i="4"/>
  <c r="H65" i="4" s="1"/>
  <c r="J73" i="4"/>
  <c r="O73" i="4" s="1"/>
  <c r="O109" i="4"/>
  <c r="L15" i="4"/>
  <c r="N15" i="4" s="1"/>
  <c r="K49" i="4"/>
  <c r="G58" i="4"/>
  <c r="H58" i="4" s="1"/>
  <c r="H62" i="4"/>
  <c r="G62" i="4"/>
  <c r="G83" i="4"/>
  <c r="H83" i="4" s="1"/>
  <c r="O100" i="4"/>
  <c r="G108" i="4"/>
  <c r="K117" i="4"/>
  <c r="F117" i="4"/>
  <c r="H125" i="4"/>
  <c r="G125" i="4"/>
  <c r="F129" i="4"/>
  <c r="F135" i="4"/>
  <c r="G141" i="4"/>
  <c r="H141" i="4" s="1"/>
  <c r="G149" i="4"/>
  <c r="H149" i="4" s="1"/>
  <c r="F133" i="4"/>
  <c r="L143" i="4"/>
  <c r="L160" i="4"/>
  <c r="N160" i="4" s="1"/>
  <c r="L9" i="4"/>
  <c r="G16" i="4"/>
  <c r="L18" i="4"/>
  <c r="G21" i="4"/>
  <c r="H21" i="4" s="1"/>
  <c r="J70" i="4"/>
  <c r="O70" i="4" s="1"/>
  <c r="J85" i="4"/>
  <c r="O85" i="4" s="1"/>
  <c r="J96" i="4"/>
  <c r="O96" i="4" s="1"/>
  <c r="L165" i="4"/>
  <c r="N165" i="4" s="1"/>
  <c r="J69" i="4"/>
  <c r="O69" i="4" s="1"/>
  <c r="J95" i="4"/>
  <c r="O95" i="4" s="1"/>
  <c r="G104" i="4"/>
  <c r="G139" i="4"/>
  <c r="G147" i="4"/>
  <c r="H147" i="4" s="1"/>
  <c r="L154" i="4"/>
  <c r="N154" i="4" s="1"/>
  <c r="G158" i="4"/>
  <c r="H158" i="4" s="1"/>
  <c r="G163" i="4"/>
  <c r="H163" i="4" s="1"/>
  <c r="G20" i="4"/>
  <c r="H20" i="4" s="1"/>
  <c r="G47" i="4"/>
  <c r="H47" i="4" s="1"/>
  <c r="G55" i="4"/>
  <c r="H55" i="4" s="1"/>
  <c r="J83" i="4"/>
  <c r="O83" i="4" s="1"/>
  <c r="J94" i="4"/>
  <c r="O94" i="4" s="1"/>
  <c r="J125" i="4"/>
  <c r="O125" i="4" s="1"/>
  <c r="L141" i="4"/>
  <c r="L149" i="4"/>
  <c r="L159" i="4"/>
  <c r="N159" i="4" s="1"/>
  <c r="L164" i="4"/>
  <c r="M35" i="5" l="1"/>
  <c r="L35" i="5"/>
  <c r="N127" i="5"/>
  <c r="M45" i="5"/>
  <c r="L45" i="5"/>
  <c r="L96" i="5"/>
  <c r="M96" i="5"/>
  <c r="N96" i="5" s="1"/>
  <c r="M21" i="5"/>
  <c r="L21" i="5"/>
  <c r="L5" i="5" s="1"/>
  <c r="H5" i="5"/>
  <c r="L95" i="5"/>
  <c r="M95" i="5"/>
  <c r="K5" i="5"/>
  <c r="M28" i="5"/>
  <c r="L28" i="5"/>
  <c r="N99" i="5"/>
  <c r="G5" i="5"/>
  <c r="M42" i="5"/>
  <c r="L42" i="5"/>
  <c r="M118" i="5"/>
  <c r="L118" i="5"/>
  <c r="M5" i="5"/>
  <c r="N6" i="5"/>
  <c r="M23" i="5"/>
  <c r="L23" i="5"/>
  <c r="N115" i="5"/>
  <c r="N119" i="5"/>
  <c r="N27" i="5"/>
  <c r="N17" i="5"/>
  <c r="N132" i="5"/>
  <c r="N68" i="5"/>
  <c r="N109" i="5"/>
  <c r="R5" i="4"/>
  <c r="P164" i="4"/>
  <c r="L69" i="4"/>
  <c r="M69" i="4"/>
  <c r="N69" i="4" s="1"/>
  <c r="G100" i="4"/>
  <c r="H100" i="4" s="1"/>
  <c r="N129" i="4"/>
  <c r="N134" i="4"/>
  <c r="N119" i="4"/>
  <c r="N79" i="4"/>
  <c r="L130" i="4"/>
  <c r="M130" i="4"/>
  <c r="N130" i="4" s="1"/>
  <c r="M70" i="4"/>
  <c r="L70" i="4"/>
  <c r="G107" i="4"/>
  <c r="H107" i="4" s="1"/>
  <c r="N100" i="4"/>
  <c r="N136" i="4"/>
  <c r="N101" i="4"/>
  <c r="L23" i="4"/>
  <c r="M23" i="4"/>
  <c r="N23" i="4" s="1"/>
  <c r="G130" i="4"/>
  <c r="H130" i="4" s="1"/>
  <c r="H135" i="4"/>
  <c r="G135" i="4"/>
  <c r="H44" i="4"/>
  <c r="G44" i="4"/>
  <c r="M74" i="4"/>
  <c r="L74" i="4"/>
  <c r="M96" i="4"/>
  <c r="L96" i="4"/>
  <c r="G134" i="4"/>
  <c r="H134" i="4" s="1"/>
  <c r="M73" i="4"/>
  <c r="L73" i="4"/>
  <c r="N110" i="4"/>
  <c r="M94" i="4"/>
  <c r="L94" i="4"/>
  <c r="M71" i="4"/>
  <c r="L71" i="4"/>
  <c r="M87" i="4"/>
  <c r="L87" i="4"/>
  <c r="M155" i="4"/>
  <c r="L155" i="4"/>
  <c r="R154" i="4"/>
  <c r="G129" i="4"/>
  <c r="H129" i="4" s="1"/>
  <c r="N85" i="4"/>
  <c r="H56" i="4"/>
  <c r="G56" i="4"/>
  <c r="L95" i="4"/>
  <c r="M95" i="4"/>
  <c r="N95" i="4" s="1"/>
  <c r="M59" i="4"/>
  <c r="L59" i="4"/>
  <c r="M56" i="4"/>
  <c r="L56" i="4"/>
  <c r="G101" i="4"/>
  <c r="H101" i="4" s="1"/>
  <c r="N44" i="4"/>
  <c r="M41" i="4"/>
  <c r="L41" i="4"/>
  <c r="N42" i="4"/>
  <c r="G33" i="4"/>
  <c r="H33" i="4" s="1"/>
  <c r="L117" i="4"/>
  <c r="M117" i="4"/>
  <c r="N117" i="4" s="1"/>
  <c r="G29" i="4"/>
  <c r="G5" i="4" s="1"/>
  <c r="R13" i="4"/>
  <c r="H6" i="4"/>
  <c r="M20" i="4"/>
  <c r="L20" i="4"/>
  <c r="K5" i="4"/>
  <c r="L33" i="4"/>
  <c r="M33" i="4"/>
  <c r="N33" i="4" s="1"/>
  <c r="M66" i="4"/>
  <c r="L66" i="4"/>
  <c r="M86" i="4"/>
  <c r="L86" i="4"/>
  <c r="L49" i="4"/>
  <c r="M49" i="4"/>
  <c r="N108" i="4"/>
  <c r="G39" i="4"/>
  <c r="H39" i="4"/>
  <c r="G117" i="4"/>
  <c r="H117" i="4" s="1"/>
  <c r="N118" i="4"/>
  <c r="M90" i="4"/>
  <c r="L90" i="4"/>
  <c r="M29" i="4"/>
  <c r="L29" i="4"/>
  <c r="G53" i="4"/>
  <c r="H53" i="4" s="1"/>
  <c r="H48" i="4"/>
  <c r="G48" i="4"/>
  <c r="H109" i="4"/>
  <c r="G109" i="4"/>
  <c r="G30" i="4"/>
  <c r="H30" i="4" s="1"/>
  <c r="G50" i="4"/>
  <c r="H50" i="4" s="1"/>
  <c r="L107" i="4"/>
  <c r="M107" i="4"/>
  <c r="N107" i="4" s="1"/>
  <c r="G66" i="4"/>
  <c r="H66" i="4" s="1"/>
  <c r="G126" i="4"/>
  <c r="H126" i="4" s="1"/>
  <c r="H59" i="4"/>
  <c r="G59" i="4"/>
  <c r="F5" i="4"/>
  <c r="N53" i="4"/>
  <c r="G133" i="4"/>
  <c r="H133" i="4" s="1"/>
  <c r="G136" i="4"/>
  <c r="H136" i="4" s="1"/>
  <c r="N135" i="4"/>
  <c r="L75" i="4"/>
  <c r="M75" i="4"/>
  <c r="H118" i="4"/>
  <c r="G118" i="4"/>
  <c r="M32" i="4"/>
  <c r="L32" i="4"/>
  <c r="L48" i="4"/>
  <c r="M48" i="4"/>
  <c r="N48" i="4" s="1"/>
  <c r="M109" i="4"/>
  <c r="L109" i="4"/>
  <c r="N77" i="4"/>
  <c r="M30" i="4"/>
  <c r="L30" i="4"/>
  <c r="L5" i="4" s="1"/>
  <c r="N104" i="4"/>
  <c r="N161" i="4"/>
  <c r="N157" i="4"/>
  <c r="N28" i="5" l="1"/>
  <c r="N118" i="5"/>
  <c r="N42" i="5"/>
  <c r="N45" i="5"/>
  <c r="N35" i="5"/>
  <c r="N21" i="5"/>
  <c r="N5" i="5" s="1"/>
  <c r="N23" i="5"/>
  <c r="N95" i="5"/>
  <c r="N20" i="4"/>
  <c r="M5" i="4"/>
  <c r="N49" i="4"/>
  <c r="N73" i="4"/>
  <c r="N30" i="4"/>
  <c r="N109" i="4"/>
  <c r="H29" i="4"/>
  <c r="H5" i="4" s="1"/>
  <c r="N155" i="4"/>
  <c r="N90" i="4"/>
  <c r="N59" i="4"/>
  <c r="N96" i="4"/>
  <c r="N87" i="4"/>
  <c r="N32" i="4"/>
  <c r="N74" i="4"/>
  <c r="N71" i="4"/>
  <c r="N29" i="4"/>
  <c r="N56" i="4"/>
  <c r="N86" i="4"/>
  <c r="N66" i="4"/>
  <c r="I5" i="4"/>
  <c r="N75" i="4"/>
  <c r="N41" i="4"/>
  <c r="N94" i="4"/>
  <c r="N70" i="4"/>
  <c r="N5" i="4" l="1"/>
  <c r="K136" i="3" l="1"/>
  <c r="M136" i="3" s="1"/>
  <c r="J136" i="3"/>
  <c r="O136" i="3" s="1"/>
  <c r="G136" i="3"/>
  <c r="H136" i="3" s="1"/>
  <c r="F136" i="3"/>
  <c r="O135" i="3"/>
  <c r="M135" i="3"/>
  <c r="K135" i="3"/>
  <c r="L135" i="3" s="1"/>
  <c r="J135" i="3"/>
  <c r="F135" i="3"/>
  <c r="O134" i="3"/>
  <c r="K134" i="3"/>
  <c r="J134" i="3"/>
  <c r="G134" i="3"/>
  <c r="F134" i="3"/>
  <c r="H134" i="3" s="1"/>
  <c r="O132" i="3"/>
  <c r="K132" i="3"/>
  <c r="J132" i="3"/>
  <c r="F132" i="3"/>
  <c r="K131" i="3"/>
  <c r="M131" i="3" s="1"/>
  <c r="J131" i="3"/>
  <c r="O131" i="3" s="1"/>
  <c r="G131" i="3"/>
  <c r="H131" i="3" s="1"/>
  <c r="F131" i="3"/>
  <c r="O130" i="3"/>
  <c r="M130" i="3"/>
  <c r="K130" i="3"/>
  <c r="L130" i="3" s="1"/>
  <c r="J130" i="3"/>
  <c r="F130" i="3"/>
  <c r="O129" i="3"/>
  <c r="K129" i="3"/>
  <c r="J129" i="3"/>
  <c r="G129" i="3"/>
  <c r="F129" i="3"/>
  <c r="H129" i="3" s="1"/>
  <c r="K127" i="3"/>
  <c r="L127" i="3" s="1"/>
  <c r="I127" i="3"/>
  <c r="J127" i="3" s="1"/>
  <c r="O127" i="3" s="1"/>
  <c r="H127" i="3"/>
  <c r="G127" i="3"/>
  <c r="F127" i="3"/>
  <c r="K126" i="3"/>
  <c r="J126" i="3"/>
  <c r="O126" i="3" s="1"/>
  <c r="F126" i="3"/>
  <c r="G126" i="3" s="1"/>
  <c r="H126" i="3" s="1"/>
  <c r="O125" i="3"/>
  <c r="L125" i="3"/>
  <c r="K125" i="3"/>
  <c r="M125" i="3" s="1"/>
  <c r="N125" i="3" s="1"/>
  <c r="J125" i="3"/>
  <c r="F125" i="3"/>
  <c r="O124" i="3"/>
  <c r="K124" i="3"/>
  <c r="M124" i="3" s="1"/>
  <c r="J124" i="3"/>
  <c r="F124" i="3"/>
  <c r="M123" i="3"/>
  <c r="N123" i="3" s="1"/>
  <c r="L123" i="3"/>
  <c r="K123" i="3"/>
  <c r="J123" i="3"/>
  <c r="O123" i="3" s="1"/>
  <c r="G123" i="3"/>
  <c r="H123" i="3" s="1"/>
  <c r="F123" i="3"/>
  <c r="K122" i="3"/>
  <c r="J122" i="3"/>
  <c r="O122" i="3" s="1"/>
  <c r="F122" i="3"/>
  <c r="G122" i="3" s="1"/>
  <c r="H122" i="3" s="1"/>
  <c r="O121" i="3"/>
  <c r="L121" i="3"/>
  <c r="K121" i="3"/>
  <c r="M121" i="3" s="1"/>
  <c r="N121" i="3" s="1"/>
  <c r="J121" i="3"/>
  <c r="F121" i="3"/>
  <c r="O119" i="3"/>
  <c r="K119" i="3"/>
  <c r="M119" i="3" s="1"/>
  <c r="J119" i="3"/>
  <c r="F119" i="3"/>
  <c r="I118" i="3"/>
  <c r="F118" i="3"/>
  <c r="G118" i="3" s="1"/>
  <c r="H118" i="3" s="1"/>
  <c r="K116" i="3"/>
  <c r="M116" i="3" s="1"/>
  <c r="J116" i="3"/>
  <c r="O116" i="3" s="1"/>
  <c r="F116" i="3"/>
  <c r="O115" i="3"/>
  <c r="K115" i="3"/>
  <c r="M115" i="3" s="1"/>
  <c r="J115" i="3"/>
  <c r="F115" i="3"/>
  <c r="M114" i="3"/>
  <c r="L114" i="3"/>
  <c r="K114" i="3"/>
  <c r="J114" i="3"/>
  <c r="O114" i="3" s="1"/>
  <c r="F114" i="3"/>
  <c r="M113" i="3"/>
  <c r="N113" i="3" s="1"/>
  <c r="I113" i="3"/>
  <c r="K113" i="3" s="1"/>
  <c r="L113" i="3" s="1"/>
  <c r="G113" i="3"/>
  <c r="F113" i="3"/>
  <c r="H113" i="3" s="1"/>
  <c r="O111" i="3"/>
  <c r="M111" i="3"/>
  <c r="K111" i="3"/>
  <c r="L111" i="3" s="1"/>
  <c r="J111" i="3"/>
  <c r="F111" i="3"/>
  <c r="K110" i="3"/>
  <c r="M110" i="3" s="1"/>
  <c r="J110" i="3"/>
  <c r="O110" i="3" s="1"/>
  <c r="G110" i="3"/>
  <c r="H110" i="3" s="1"/>
  <c r="F110" i="3"/>
  <c r="I109" i="3"/>
  <c r="K109" i="3" s="1"/>
  <c r="L109" i="3" s="1"/>
  <c r="G109" i="3"/>
  <c r="F109" i="3"/>
  <c r="K108" i="3"/>
  <c r="M108" i="3" s="1"/>
  <c r="I108" i="3"/>
  <c r="J108" i="3" s="1"/>
  <c r="O108" i="3" s="1"/>
  <c r="F108" i="3"/>
  <c r="M107" i="3"/>
  <c r="K107" i="3"/>
  <c r="L107" i="3" s="1"/>
  <c r="J107" i="3"/>
  <c r="O107" i="3" s="1"/>
  <c r="H107" i="3"/>
  <c r="F107" i="3"/>
  <c r="G107" i="3" s="1"/>
  <c r="K106" i="3"/>
  <c r="M106" i="3" s="1"/>
  <c r="J106" i="3"/>
  <c r="O106" i="3" s="1"/>
  <c r="F106" i="3"/>
  <c r="O105" i="3"/>
  <c r="K105" i="3"/>
  <c r="M105" i="3" s="1"/>
  <c r="J105" i="3"/>
  <c r="F105" i="3"/>
  <c r="M104" i="3"/>
  <c r="N104" i="3" s="1"/>
  <c r="L104" i="3"/>
  <c r="K104" i="3"/>
  <c r="J104" i="3"/>
  <c r="O104" i="3" s="1"/>
  <c r="F104" i="3"/>
  <c r="M103" i="3"/>
  <c r="N103" i="3" s="1"/>
  <c r="K103" i="3"/>
  <c r="L103" i="3" s="1"/>
  <c r="J103" i="3"/>
  <c r="O103" i="3" s="1"/>
  <c r="H103" i="3"/>
  <c r="F103" i="3"/>
  <c r="G103" i="3" s="1"/>
  <c r="L102" i="3"/>
  <c r="K102" i="3"/>
  <c r="M102" i="3" s="1"/>
  <c r="J102" i="3"/>
  <c r="O102" i="3" s="1"/>
  <c r="F102" i="3"/>
  <c r="O101" i="3"/>
  <c r="K101" i="3"/>
  <c r="M101" i="3" s="1"/>
  <c r="J101" i="3"/>
  <c r="F101" i="3"/>
  <c r="M99" i="3"/>
  <c r="L99" i="3"/>
  <c r="K99" i="3"/>
  <c r="J99" i="3"/>
  <c r="O99" i="3" s="1"/>
  <c r="F99" i="3"/>
  <c r="N98" i="3"/>
  <c r="M98" i="3"/>
  <c r="K98" i="3"/>
  <c r="L98" i="3" s="1"/>
  <c r="J98" i="3"/>
  <c r="O98" i="3" s="1"/>
  <c r="F98" i="3"/>
  <c r="G98" i="3" s="1"/>
  <c r="H98" i="3" s="1"/>
  <c r="K97" i="3"/>
  <c r="M97" i="3" s="1"/>
  <c r="J97" i="3"/>
  <c r="O97" i="3" s="1"/>
  <c r="F97" i="3"/>
  <c r="O96" i="3"/>
  <c r="K96" i="3"/>
  <c r="M96" i="3" s="1"/>
  <c r="J96" i="3"/>
  <c r="F96" i="3"/>
  <c r="I95" i="3"/>
  <c r="K95" i="3" s="1"/>
  <c r="M95" i="3" s="1"/>
  <c r="F95" i="3"/>
  <c r="O94" i="3"/>
  <c r="K94" i="3"/>
  <c r="J94" i="3"/>
  <c r="F94" i="3"/>
  <c r="O93" i="3"/>
  <c r="K93" i="3"/>
  <c r="M93" i="3" s="1"/>
  <c r="J93" i="3"/>
  <c r="F93" i="3"/>
  <c r="G93" i="3" s="1"/>
  <c r="K92" i="3"/>
  <c r="M92" i="3" s="1"/>
  <c r="J92" i="3"/>
  <c r="O92" i="3" s="1"/>
  <c r="G92" i="3"/>
  <c r="H92" i="3" s="1"/>
  <c r="F92" i="3"/>
  <c r="I91" i="3"/>
  <c r="K91" i="3" s="1"/>
  <c r="L91" i="3" s="1"/>
  <c r="F91" i="3"/>
  <c r="O90" i="3"/>
  <c r="K90" i="3"/>
  <c r="M90" i="3" s="1"/>
  <c r="I90" i="3"/>
  <c r="J90" i="3" s="1"/>
  <c r="F90" i="3"/>
  <c r="I89" i="3"/>
  <c r="K89" i="3" s="1"/>
  <c r="L89" i="3" s="1"/>
  <c r="G89" i="3"/>
  <c r="F89" i="3"/>
  <c r="H89" i="3" s="1"/>
  <c r="O88" i="3"/>
  <c r="M88" i="3"/>
  <c r="L88" i="3"/>
  <c r="K88" i="3"/>
  <c r="J88" i="3"/>
  <c r="F88" i="3"/>
  <c r="I87" i="3"/>
  <c r="K87" i="3" s="1"/>
  <c r="F87" i="3"/>
  <c r="G87" i="3" s="1"/>
  <c r="O86" i="3"/>
  <c r="L86" i="3"/>
  <c r="K86" i="3"/>
  <c r="M86" i="3" s="1"/>
  <c r="N86" i="3" s="1"/>
  <c r="J86" i="3"/>
  <c r="F86" i="3"/>
  <c r="G86" i="3" s="1"/>
  <c r="O84" i="3"/>
  <c r="K84" i="3"/>
  <c r="M84" i="3" s="1"/>
  <c r="J84" i="3"/>
  <c r="F84" i="3"/>
  <c r="N83" i="3"/>
  <c r="M83" i="3"/>
  <c r="L83" i="3"/>
  <c r="K83" i="3"/>
  <c r="J83" i="3"/>
  <c r="O83" i="3" s="1"/>
  <c r="G83" i="3"/>
  <c r="H83" i="3" s="1"/>
  <c r="F83" i="3"/>
  <c r="K82" i="3"/>
  <c r="J82" i="3"/>
  <c r="O82" i="3" s="1"/>
  <c r="F82" i="3"/>
  <c r="O81" i="3"/>
  <c r="N81" i="3"/>
  <c r="L81" i="3"/>
  <c r="K81" i="3"/>
  <c r="M81" i="3" s="1"/>
  <c r="J81" i="3"/>
  <c r="F81" i="3"/>
  <c r="O80" i="3"/>
  <c r="K80" i="3"/>
  <c r="M80" i="3" s="1"/>
  <c r="J80" i="3"/>
  <c r="F80" i="3"/>
  <c r="M79" i="3"/>
  <c r="N79" i="3" s="1"/>
  <c r="L79" i="3"/>
  <c r="K79" i="3"/>
  <c r="J79" i="3"/>
  <c r="O79" i="3" s="1"/>
  <c r="H79" i="3"/>
  <c r="G79" i="3"/>
  <c r="F79" i="3"/>
  <c r="K78" i="3"/>
  <c r="J78" i="3"/>
  <c r="O78" i="3" s="1"/>
  <c r="F78" i="3"/>
  <c r="G78" i="3" s="1"/>
  <c r="O77" i="3"/>
  <c r="N77" i="3"/>
  <c r="L77" i="3"/>
  <c r="K77" i="3"/>
  <c r="M77" i="3" s="1"/>
  <c r="J77" i="3"/>
  <c r="G77" i="3"/>
  <c r="F77" i="3"/>
  <c r="O76" i="3"/>
  <c r="K76" i="3"/>
  <c r="J76" i="3"/>
  <c r="F76" i="3"/>
  <c r="N75" i="3"/>
  <c r="M75" i="3"/>
  <c r="L75" i="3"/>
  <c r="K75" i="3"/>
  <c r="J75" i="3"/>
  <c r="O75" i="3" s="1"/>
  <c r="G75" i="3"/>
  <c r="H75" i="3" s="1"/>
  <c r="F75" i="3"/>
  <c r="K74" i="3"/>
  <c r="J74" i="3"/>
  <c r="O74" i="3" s="1"/>
  <c r="F74" i="3"/>
  <c r="G74" i="3" s="1"/>
  <c r="O73" i="3"/>
  <c r="L73" i="3"/>
  <c r="K73" i="3"/>
  <c r="M73" i="3" s="1"/>
  <c r="N73" i="3" s="1"/>
  <c r="J73" i="3"/>
  <c r="F73" i="3"/>
  <c r="O72" i="3"/>
  <c r="L72" i="3"/>
  <c r="K72" i="3"/>
  <c r="M72" i="3" s="1"/>
  <c r="J72" i="3"/>
  <c r="F72" i="3"/>
  <c r="M71" i="3"/>
  <c r="N71" i="3" s="1"/>
  <c r="L71" i="3"/>
  <c r="K71" i="3"/>
  <c r="J71" i="3"/>
  <c r="O71" i="3" s="1"/>
  <c r="G71" i="3"/>
  <c r="H71" i="3" s="1"/>
  <c r="F71" i="3"/>
  <c r="K70" i="3"/>
  <c r="J70" i="3"/>
  <c r="O70" i="3" s="1"/>
  <c r="H70" i="3"/>
  <c r="F70" i="3"/>
  <c r="G70" i="3" s="1"/>
  <c r="O69" i="3"/>
  <c r="L69" i="3"/>
  <c r="K69" i="3"/>
  <c r="M69" i="3" s="1"/>
  <c r="N69" i="3" s="1"/>
  <c r="J69" i="3"/>
  <c r="F69" i="3"/>
  <c r="O68" i="3"/>
  <c r="M68" i="3"/>
  <c r="L68" i="3"/>
  <c r="K68" i="3"/>
  <c r="J68" i="3"/>
  <c r="F68" i="3"/>
  <c r="M67" i="3"/>
  <c r="N67" i="3" s="1"/>
  <c r="L67" i="3"/>
  <c r="K67" i="3"/>
  <c r="J67" i="3"/>
  <c r="O67" i="3" s="1"/>
  <c r="G67" i="3"/>
  <c r="H67" i="3" s="1"/>
  <c r="F67" i="3"/>
  <c r="K66" i="3"/>
  <c r="J66" i="3"/>
  <c r="O66" i="3" s="1"/>
  <c r="H66" i="3"/>
  <c r="F66" i="3"/>
  <c r="G66" i="3" s="1"/>
  <c r="I65" i="3"/>
  <c r="K65" i="3" s="1"/>
  <c r="F65" i="3"/>
  <c r="J64" i="3"/>
  <c r="O64" i="3" s="1"/>
  <c r="I64" i="3"/>
  <c r="K64" i="3" s="1"/>
  <c r="M64" i="3" s="1"/>
  <c r="F64" i="3"/>
  <c r="L63" i="3"/>
  <c r="N63" i="3" s="1"/>
  <c r="K63" i="3"/>
  <c r="M63" i="3" s="1"/>
  <c r="J63" i="3"/>
  <c r="O63" i="3" s="1"/>
  <c r="G63" i="3"/>
  <c r="F63" i="3"/>
  <c r="H63" i="3" s="1"/>
  <c r="O61" i="3"/>
  <c r="M61" i="3"/>
  <c r="K61" i="3"/>
  <c r="L61" i="3" s="1"/>
  <c r="J61" i="3"/>
  <c r="F61" i="3"/>
  <c r="G61" i="3" s="1"/>
  <c r="K60" i="3"/>
  <c r="M60" i="3" s="1"/>
  <c r="J60" i="3"/>
  <c r="O60" i="3" s="1"/>
  <c r="G60" i="3"/>
  <c r="H60" i="3" s="1"/>
  <c r="F60" i="3"/>
  <c r="O59" i="3"/>
  <c r="M59" i="3"/>
  <c r="N59" i="3" s="1"/>
  <c r="K59" i="3"/>
  <c r="L59" i="3" s="1"/>
  <c r="J59" i="3"/>
  <c r="F59" i="3"/>
  <c r="K58" i="3"/>
  <c r="M58" i="3" s="1"/>
  <c r="J58" i="3"/>
  <c r="O58" i="3" s="1"/>
  <c r="G58" i="3"/>
  <c r="F58" i="3"/>
  <c r="H58" i="3" s="1"/>
  <c r="O57" i="3"/>
  <c r="M57" i="3"/>
  <c r="K57" i="3"/>
  <c r="L57" i="3" s="1"/>
  <c r="J57" i="3"/>
  <c r="F57" i="3"/>
  <c r="G57" i="3" s="1"/>
  <c r="H57" i="3" s="1"/>
  <c r="K56" i="3"/>
  <c r="M56" i="3" s="1"/>
  <c r="J56" i="3"/>
  <c r="O56" i="3" s="1"/>
  <c r="G56" i="3"/>
  <c r="H56" i="3" s="1"/>
  <c r="F56" i="3"/>
  <c r="O55" i="3"/>
  <c r="M55" i="3"/>
  <c r="N55" i="3" s="1"/>
  <c r="K55" i="3"/>
  <c r="L55" i="3" s="1"/>
  <c r="J55" i="3"/>
  <c r="F55" i="3"/>
  <c r="K54" i="3"/>
  <c r="J54" i="3"/>
  <c r="O54" i="3" s="1"/>
  <c r="G54" i="3"/>
  <c r="F54" i="3"/>
  <c r="H54" i="3" s="1"/>
  <c r="O53" i="3"/>
  <c r="K53" i="3"/>
  <c r="M53" i="3" s="1"/>
  <c r="J53" i="3"/>
  <c r="F53" i="3"/>
  <c r="K52" i="3"/>
  <c r="M52" i="3" s="1"/>
  <c r="J52" i="3"/>
  <c r="O52" i="3" s="1"/>
  <c r="G52" i="3"/>
  <c r="H52" i="3" s="1"/>
  <c r="F52" i="3"/>
  <c r="O51" i="3"/>
  <c r="M51" i="3"/>
  <c r="N51" i="3" s="1"/>
  <c r="K51" i="3"/>
  <c r="L51" i="3" s="1"/>
  <c r="J51" i="3"/>
  <c r="F51" i="3"/>
  <c r="K50" i="3"/>
  <c r="M50" i="3" s="1"/>
  <c r="J50" i="3"/>
  <c r="O50" i="3" s="1"/>
  <c r="G50" i="3"/>
  <c r="F50" i="3"/>
  <c r="H50" i="3" s="1"/>
  <c r="O49" i="3"/>
  <c r="M49" i="3"/>
  <c r="K49" i="3"/>
  <c r="L49" i="3" s="1"/>
  <c r="J49" i="3"/>
  <c r="F49" i="3"/>
  <c r="K48" i="3"/>
  <c r="M48" i="3" s="1"/>
  <c r="J48" i="3"/>
  <c r="O48" i="3" s="1"/>
  <c r="G48" i="3"/>
  <c r="H48" i="3" s="1"/>
  <c r="F48" i="3"/>
  <c r="I47" i="3"/>
  <c r="K47" i="3" s="1"/>
  <c r="L47" i="3" s="1"/>
  <c r="F47" i="3"/>
  <c r="O46" i="3"/>
  <c r="M46" i="3"/>
  <c r="N46" i="3" s="1"/>
  <c r="L46" i="3"/>
  <c r="K46" i="3"/>
  <c r="J46" i="3"/>
  <c r="F46" i="3"/>
  <c r="N45" i="3"/>
  <c r="M45" i="3"/>
  <c r="L45" i="3"/>
  <c r="K45" i="3"/>
  <c r="J45" i="3"/>
  <c r="O45" i="3" s="1"/>
  <c r="G45" i="3"/>
  <c r="H45" i="3" s="1"/>
  <c r="F45" i="3"/>
  <c r="K44" i="3"/>
  <c r="J44" i="3"/>
  <c r="O44" i="3" s="1"/>
  <c r="F44" i="3"/>
  <c r="G44" i="3" s="1"/>
  <c r="O43" i="3"/>
  <c r="L43" i="3"/>
  <c r="K43" i="3"/>
  <c r="M43" i="3" s="1"/>
  <c r="N43" i="3" s="1"/>
  <c r="J43" i="3"/>
  <c r="F43" i="3"/>
  <c r="G43" i="3" s="1"/>
  <c r="O41" i="3"/>
  <c r="M41" i="3"/>
  <c r="K41" i="3"/>
  <c r="L41" i="3" s="1"/>
  <c r="J41" i="3"/>
  <c r="F41" i="3"/>
  <c r="M40" i="3"/>
  <c r="N40" i="3" s="1"/>
  <c r="L40" i="3"/>
  <c r="K40" i="3"/>
  <c r="J40" i="3"/>
  <c r="O40" i="3" s="1"/>
  <c r="G40" i="3"/>
  <c r="H40" i="3" s="1"/>
  <c r="F40" i="3"/>
  <c r="K39" i="3"/>
  <c r="J39" i="3"/>
  <c r="O39" i="3" s="1"/>
  <c r="F39" i="3"/>
  <c r="G39" i="3" s="1"/>
  <c r="I38" i="3"/>
  <c r="K38" i="3" s="1"/>
  <c r="F38" i="3"/>
  <c r="M37" i="3"/>
  <c r="N37" i="3" s="1"/>
  <c r="L37" i="3"/>
  <c r="K37" i="3"/>
  <c r="J37" i="3"/>
  <c r="O37" i="3" s="1"/>
  <c r="I37" i="3"/>
  <c r="F37" i="3"/>
  <c r="K36" i="3"/>
  <c r="J36" i="3"/>
  <c r="O36" i="3" s="1"/>
  <c r="I36" i="3"/>
  <c r="F36" i="3"/>
  <c r="L35" i="3"/>
  <c r="M34" i="3"/>
  <c r="N34" i="3" s="1"/>
  <c r="K34" i="3"/>
  <c r="L34" i="3" s="1"/>
  <c r="J34" i="3"/>
  <c r="O34" i="3" s="1"/>
  <c r="F34" i="3"/>
  <c r="G34" i="3" s="1"/>
  <c r="H34" i="3" s="1"/>
  <c r="M33" i="3"/>
  <c r="L33" i="3"/>
  <c r="K33" i="3"/>
  <c r="J33" i="3"/>
  <c r="O33" i="3" s="1"/>
  <c r="F33" i="3"/>
  <c r="O32" i="3"/>
  <c r="K32" i="3"/>
  <c r="M32" i="3" s="1"/>
  <c r="J32" i="3"/>
  <c r="F32" i="3"/>
  <c r="M31" i="3"/>
  <c r="N31" i="3" s="1"/>
  <c r="L31" i="3"/>
  <c r="K31" i="3"/>
  <c r="J31" i="3"/>
  <c r="O31" i="3" s="1"/>
  <c r="F31" i="3"/>
  <c r="I30" i="3"/>
  <c r="J30" i="3" s="1"/>
  <c r="O30" i="3" s="1"/>
  <c r="H30" i="3"/>
  <c r="G30" i="3"/>
  <c r="F30" i="3"/>
  <c r="I29" i="3"/>
  <c r="J29" i="3" s="1"/>
  <c r="O29" i="3" s="1"/>
  <c r="G29" i="3"/>
  <c r="H29" i="3" s="1"/>
  <c r="F29" i="3"/>
  <c r="K28" i="3"/>
  <c r="J28" i="3"/>
  <c r="O28" i="3" s="1"/>
  <c r="H28" i="3"/>
  <c r="F28" i="3"/>
  <c r="G28" i="3" s="1"/>
  <c r="O27" i="3"/>
  <c r="N27" i="3"/>
  <c r="M27" i="3"/>
  <c r="L27" i="3"/>
  <c r="K27" i="3"/>
  <c r="J27" i="3"/>
  <c r="F27" i="3"/>
  <c r="O26" i="3"/>
  <c r="M26" i="3"/>
  <c r="L26" i="3"/>
  <c r="K26" i="3"/>
  <c r="J26" i="3"/>
  <c r="I26" i="3"/>
  <c r="F26" i="3"/>
  <c r="K25" i="3"/>
  <c r="L25" i="3" s="1"/>
  <c r="J25" i="3"/>
  <c r="O25" i="3" s="1"/>
  <c r="H25" i="3"/>
  <c r="G25" i="3"/>
  <c r="F25" i="3"/>
  <c r="K24" i="3"/>
  <c r="M24" i="3" s="1"/>
  <c r="J24" i="3"/>
  <c r="O24" i="3" s="1"/>
  <c r="F24" i="3"/>
  <c r="K23" i="3"/>
  <c r="M23" i="3" s="1"/>
  <c r="J23" i="3"/>
  <c r="O23" i="3" s="1"/>
  <c r="G23" i="3"/>
  <c r="H23" i="3" s="1"/>
  <c r="F23" i="3"/>
  <c r="M22" i="3"/>
  <c r="N22" i="3" s="1"/>
  <c r="L22" i="3"/>
  <c r="K22" i="3"/>
  <c r="J22" i="3"/>
  <c r="O22" i="3" s="1"/>
  <c r="I22" i="3"/>
  <c r="F22" i="3"/>
  <c r="O21" i="3"/>
  <c r="K21" i="3"/>
  <c r="M21" i="3" s="1"/>
  <c r="J21" i="3"/>
  <c r="H21" i="3"/>
  <c r="G21" i="3"/>
  <c r="F21" i="3"/>
  <c r="O20" i="3"/>
  <c r="K20" i="3"/>
  <c r="M20" i="3" s="1"/>
  <c r="J20" i="3"/>
  <c r="G20" i="3"/>
  <c r="H20" i="3" s="1"/>
  <c r="F20" i="3"/>
  <c r="K19" i="3"/>
  <c r="J19" i="3"/>
  <c r="O19" i="3" s="1"/>
  <c r="H19" i="3"/>
  <c r="G19" i="3"/>
  <c r="F19" i="3"/>
  <c r="I18" i="3"/>
  <c r="K18" i="3" s="1"/>
  <c r="L18" i="3" s="1"/>
  <c r="G18" i="3"/>
  <c r="H18" i="3" s="1"/>
  <c r="F18" i="3"/>
  <c r="O17" i="3"/>
  <c r="M17" i="3"/>
  <c r="L17" i="3"/>
  <c r="K17" i="3"/>
  <c r="J17" i="3"/>
  <c r="I17" i="3"/>
  <c r="F17" i="3"/>
  <c r="O16" i="3"/>
  <c r="K16" i="3"/>
  <c r="L16" i="3" s="1"/>
  <c r="J16" i="3"/>
  <c r="H16" i="3"/>
  <c r="G16" i="3"/>
  <c r="F16" i="3"/>
  <c r="K15" i="3"/>
  <c r="M15" i="3" s="1"/>
  <c r="J15" i="3"/>
  <c r="O15" i="3" s="1"/>
  <c r="I15" i="3"/>
  <c r="F15" i="3"/>
  <c r="K10" i="3"/>
  <c r="J10" i="3"/>
  <c r="O10" i="3" s="1"/>
  <c r="G10" i="3"/>
  <c r="H10" i="3" s="1"/>
  <c r="F10" i="3"/>
  <c r="O9" i="3"/>
  <c r="M9" i="3"/>
  <c r="N9" i="3" s="1"/>
  <c r="L9" i="3"/>
  <c r="K9" i="3"/>
  <c r="J9" i="3"/>
  <c r="G9" i="3"/>
  <c r="F9" i="3"/>
  <c r="L6" i="3"/>
  <c r="K6" i="3"/>
  <c r="J6" i="3"/>
  <c r="O6" i="3" s="1"/>
  <c r="H6" i="3"/>
  <c r="G6" i="3"/>
  <c r="F6" i="3"/>
  <c r="K134" i="1"/>
  <c r="M134" i="1" s="1"/>
  <c r="J134" i="1"/>
  <c r="O134" i="1" s="1"/>
  <c r="G134" i="1"/>
  <c r="H134" i="1" s="1"/>
  <c r="F134" i="1"/>
  <c r="O133" i="1"/>
  <c r="M133" i="1"/>
  <c r="N133" i="1" s="1"/>
  <c r="K133" i="1"/>
  <c r="L133" i="1" s="1"/>
  <c r="J133" i="1"/>
  <c r="F133" i="1"/>
  <c r="O132" i="1"/>
  <c r="M132" i="1"/>
  <c r="K132" i="1"/>
  <c r="L132" i="1" s="1"/>
  <c r="J132" i="1"/>
  <c r="F132" i="1"/>
  <c r="K130" i="1"/>
  <c r="M130" i="1" s="1"/>
  <c r="J130" i="1"/>
  <c r="O130" i="1" s="1"/>
  <c r="G130" i="1"/>
  <c r="H130" i="1" s="1"/>
  <c r="F130" i="1"/>
  <c r="K129" i="1"/>
  <c r="M129" i="1" s="1"/>
  <c r="J129" i="1"/>
  <c r="O129" i="1" s="1"/>
  <c r="F129" i="1"/>
  <c r="G129" i="1" s="1"/>
  <c r="O128" i="1"/>
  <c r="M128" i="1"/>
  <c r="N128" i="1" s="1"/>
  <c r="K128" i="1"/>
  <c r="L128" i="1" s="1"/>
  <c r="J128" i="1"/>
  <c r="F128" i="1"/>
  <c r="K127" i="1"/>
  <c r="M127" i="1" s="1"/>
  <c r="J127" i="1"/>
  <c r="O127" i="1" s="1"/>
  <c r="F127" i="1"/>
  <c r="K125" i="1"/>
  <c r="J125" i="1"/>
  <c r="O125" i="1" s="1"/>
  <c r="F125" i="1"/>
  <c r="G125" i="1" s="1"/>
  <c r="H125" i="1" s="1"/>
  <c r="K124" i="1"/>
  <c r="M124" i="1" s="1"/>
  <c r="J124" i="1"/>
  <c r="O124" i="1" s="1"/>
  <c r="F124" i="1"/>
  <c r="O123" i="1"/>
  <c r="M123" i="1"/>
  <c r="N123" i="1" s="1"/>
  <c r="K123" i="1"/>
  <c r="L123" i="1" s="1"/>
  <c r="J123" i="1"/>
  <c r="F123" i="1"/>
  <c r="K121" i="1"/>
  <c r="L121" i="1" s="1"/>
  <c r="J121" i="1"/>
  <c r="O121" i="1" s="1"/>
  <c r="F121" i="1"/>
  <c r="K120" i="1"/>
  <c r="M120" i="1" s="1"/>
  <c r="J120" i="1"/>
  <c r="O120" i="1" s="1"/>
  <c r="G120" i="1"/>
  <c r="F120" i="1"/>
  <c r="H120" i="1" s="1"/>
  <c r="R119" i="1"/>
  <c r="K119" i="1"/>
  <c r="J119" i="1"/>
  <c r="O119" i="1" s="1"/>
  <c r="F119" i="1"/>
  <c r="O118" i="1"/>
  <c r="K118" i="1"/>
  <c r="M118" i="1" s="1"/>
  <c r="J118" i="1"/>
  <c r="G118" i="1"/>
  <c r="F118" i="1"/>
  <c r="O116" i="1"/>
  <c r="K116" i="1"/>
  <c r="L116" i="1" s="1"/>
  <c r="J116" i="1"/>
  <c r="G116" i="1"/>
  <c r="F116" i="1"/>
  <c r="H116" i="1" s="1"/>
  <c r="L115" i="1"/>
  <c r="K115" i="1"/>
  <c r="M115" i="1" s="1"/>
  <c r="N115" i="1" s="1"/>
  <c r="J115" i="1"/>
  <c r="O115" i="1" s="1"/>
  <c r="G115" i="1"/>
  <c r="H115" i="1" s="1"/>
  <c r="F115" i="1"/>
  <c r="I114" i="1"/>
  <c r="G114" i="1"/>
  <c r="H114" i="1" s="1"/>
  <c r="F114" i="1"/>
  <c r="O113" i="1"/>
  <c r="L113" i="1"/>
  <c r="K113" i="1"/>
  <c r="M113" i="1" s="1"/>
  <c r="N113" i="1" s="1"/>
  <c r="J113" i="1"/>
  <c r="F113" i="1"/>
  <c r="O112" i="1"/>
  <c r="M112" i="1"/>
  <c r="N112" i="1" s="1"/>
  <c r="L112" i="1"/>
  <c r="K112" i="1"/>
  <c r="J112" i="1"/>
  <c r="F112" i="1"/>
  <c r="K111" i="1"/>
  <c r="L111" i="1" s="1"/>
  <c r="J111" i="1"/>
  <c r="O111" i="1" s="1"/>
  <c r="F111" i="1"/>
  <c r="G111" i="1" s="1"/>
  <c r="H111" i="1" s="1"/>
  <c r="L110" i="1"/>
  <c r="K110" i="1"/>
  <c r="M110" i="1" s="1"/>
  <c r="J110" i="1"/>
  <c r="O110" i="1" s="1"/>
  <c r="F110" i="1"/>
  <c r="O109" i="1"/>
  <c r="L109" i="1"/>
  <c r="K109" i="1"/>
  <c r="M109" i="1" s="1"/>
  <c r="N109" i="1" s="1"/>
  <c r="J109" i="1"/>
  <c r="F109" i="1"/>
  <c r="O108" i="1"/>
  <c r="N108" i="1"/>
  <c r="M108" i="1"/>
  <c r="L108" i="1"/>
  <c r="K108" i="1"/>
  <c r="J108" i="1"/>
  <c r="F108" i="1"/>
  <c r="O107" i="1"/>
  <c r="M107" i="1"/>
  <c r="K107" i="1"/>
  <c r="L107" i="1" s="1"/>
  <c r="J107" i="1"/>
  <c r="H107" i="1"/>
  <c r="F107" i="1"/>
  <c r="G107" i="1" s="1"/>
  <c r="K106" i="1"/>
  <c r="M106" i="1" s="1"/>
  <c r="J106" i="1"/>
  <c r="O106" i="1" s="1"/>
  <c r="F106" i="1"/>
  <c r="O104" i="1"/>
  <c r="L104" i="1"/>
  <c r="K104" i="1"/>
  <c r="M104" i="1" s="1"/>
  <c r="N104" i="1" s="1"/>
  <c r="J104" i="1"/>
  <c r="F104" i="1"/>
  <c r="G104" i="1" s="1"/>
  <c r="H104" i="1" s="1"/>
  <c r="O103" i="1"/>
  <c r="M103" i="1"/>
  <c r="N103" i="1" s="1"/>
  <c r="L103" i="1"/>
  <c r="K103" i="1"/>
  <c r="J103" i="1"/>
  <c r="F103" i="1"/>
  <c r="O102" i="1"/>
  <c r="M102" i="1"/>
  <c r="N102" i="1" s="1"/>
  <c r="K102" i="1"/>
  <c r="L102" i="1" s="1"/>
  <c r="J102" i="1"/>
  <c r="F102" i="1"/>
  <c r="G102" i="1" s="1"/>
  <c r="H102" i="1" s="1"/>
  <c r="K101" i="1"/>
  <c r="M101" i="1" s="1"/>
  <c r="J101" i="1"/>
  <c r="O101" i="1" s="1"/>
  <c r="G101" i="1"/>
  <c r="H101" i="1" s="1"/>
  <c r="F101" i="1"/>
  <c r="O100" i="1"/>
  <c r="M100" i="1"/>
  <c r="N100" i="1" s="1"/>
  <c r="L100" i="1"/>
  <c r="K100" i="1"/>
  <c r="J100" i="1"/>
  <c r="F100" i="1"/>
  <c r="G100" i="1" s="1"/>
  <c r="O99" i="1"/>
  <c r="M99" i="1"/>
  <c r="N99" i="1" s="1"/>
  <c r="L99" i="1"/>
  <c r="K99" i="1"/>
  <c r="J99" i="1"/>
  <c r="F99" i="1"/>
  <c r="K98" i="1"/>
  <c r="L98" i="1" s="1"/>
  <c r="J98" i="1"/>
  <c r="O98" i="1" s="1"/>
  <c r="H98" i="1"/>
  <c r="F98" i="1"/>
  <c r="G98" i="1" s="1"/>
  <c r="K97" i="1"/>
  <c r="M97" i="1" s="1"/>
  <c r="J97" i="1"/>
  <c r="O97" i="1" s="1"/>
  <c r="F97" i="1"/>
  <c r="G97" i="1" s="1"/>
  <c r="O96" i="1"/>
  <c r="M96" i="1"/>
  <c r="N96" i="1" s="1"/>
  <c r="L96" i="1"/>
  <c r="K96" i="1"/>
  <c r="J96" i="1"/>
  <c r="F96" i="1"/>
  <c r="G96" i="1" s="1"/>
  <c r="H96" i="1" s="1"/>
  <c r="O95" i="1"/>
  <c r="M95" i="1"/>
  <c r="N95" i="1" s="1"/>
  <c r="L95" i="1"/>
  <c r="K95" i="1"/>
  <c r="J95" i="1"/>
  <c r="F95" i="1"/>
  <c r="O94" i="1"/>
  <c r="M94" i="1"/>
  <c r="N94" i="1" s="1"/>
  <c r="K94" i="1"/>
  <c r="L94" i="1" s="1"/>
  <c r="J94" i="1"/>
  <c r="F94" i="1"/>
  <c r="G94" i="1" s="1"/>
  <c r="H94" i="1" s="1"/>
  <c r="K93" i="1"/>
  <c r="M93" i="1" s="1"/>
  <c r="J93" i="1"/>
  <c r="O93" i="1" s="1"/>
  <c r="F93" i="1"/>
  <c r="O92" i="1"/>
  <c r="M92" i="1"/>
  <c r="N92" i="1" s="1"/>
  <c r="L92" i="1"/>
  <c r="K92" i="1"/>
  <c r="J92" i="1"/>
  <c r="F92" i="1"/>
  <c r="O91" i="1"/>
  <c r="M91" i="1"/>
  <c r="L91" i="1"/>
  <c r="K91" i="1"/>
  <c r="J91" i="1"/>
  <c r="F91" i="1"/>
  <c r="K89" i="1"/>
  <c r="M89" i="1" s="1"/>
  <c r="J89" i="1"/>
  <c r="O89" i="1" s="1"/>
  <c r="F89" i="1"/>
  <c r="G89" i="1" s="1"/>
  <c r="H89" i="1" s="1"/>
  <c r="K88" i="1"/>
  <c r="M88" i="1" s="1"/>
  <c r="J88" i="1"/>
  <c r="O88" i="1" s="1"/>
  <c r="F88" i="1"/>
  <c r="G88" i="1" s="1"/>
  <c r="H88" i="1" s="1"/>
  <c r="O87" i="1"/>
  <c r="L87" i="1"/>
  <c r="K87" i="1"/>
  <c r="M87" i="1" s="1"/>
  <c r="N87" i="1" s="1"/>
  <c r="J87" i="1"/>
  <c r="G87" i="1"/>
  <c r="F87" i="1"/>
  <c r="O86" i="1"/>
  <c r="M86" i="1"/>
  <c r="N86" i="1" s="1"/>
  <c r="L86" i="1"/>
  <c r="K86" i="1"/>
  <c r="J86" i="1"/>
  <c r="F86" i="1"/>
  <c r="K85" i="1"/>
  <c r="M85" i="1" s="1"/>
  <c r="J85" i="1"/>
  <c r="O85" i="1" s="1"/>
  <c r="F85" i="1"/>
  <c r="G85" i="1" s="1"/>
  <c r="H85" i="1" s="1"/>
  <c r="K84" i="1"/>
  <c r="M84" i="1" s="1"/>
  <c r="J84" i="1"/>
  <c r="O84" i="1" s="1"/>
  <c r="F84" i="1"/>
  <c r="G84" i="1" s="1"/>
  <c r="O83" i="1"/>
  <c r="L83" i="1"/>
  <c r="K83" i="1"/>
  <c r="M83" i="1" s="1"/>
  <c r="N83" i="1" s="1"/>
  <c r="J83" i="1"/>
  <c r="G83" i="1"/>
  <c r="F83" i="1"/>
  <c r="H83" i="1" s="1"/>
  <c r="O82" i="1"/>
  <c r="M82" i="1"/>
  <c r="N82" i="1" s="1"/>
  <c r="L82" i="1"/>
  <c r="K82" i="1"/>
  <c r="J82" i="1"/>
  <c r="F82" i="1"/>
  <c r="O81" i="1"/>
  <c r="L81" i="1"/>
  <c r="K81" i="1"/>
  <c r="M81" i="1" s="1"/>
  <c r="N81" i="1" s="1"/>
  <c r="J81" i="1"/>
  <c r="F81" i="1"/>
  <c r="G81" i="1" s="1"/>
  <c r="H81" i="1" s="1"/>
  <c r="K80" i="1"/>
  <c r="M80" i="1" s="1"/>
  <c r="J80" i="1"/>
  <c r="O80" i="1" s="1"/>
  <c r="G80" i="1"/>
  <c r="H80" i="1" s="1"/>
  <c r="F80" i="1"/>
  <c r="O79" i="1"/>
  <c r="L79" i="1"/>
  <c r="K79" i="1"/>
  <c r="M79" i="1" s="1"/>
  <c r="N79" i="1" s="1"/>
  <c r="J79" i="1"/>
  <c r="F79" i="1"/>
  <c r="O78" i="1"/>
  <c r="M78" i="1"/>
  <c r="L78" i="1"/>
  <c r="K78" i="1"/>
  <c r="J78" i="1"/>
  <c r="F78" i="1"/>
  <c r="K77" i="1"/>
  <c r="M77" i="1" s="1"/>
  <c r="J77" i="1"/>
  <c r="O77" i="1" s="1"/>
  <c r="F77" i="1"/>
  <c r="G77" i="1" s="1"/>
  <c r="H77" i="1" s="1"/>
  <c r="K76" i="1"/>
  <c r="M76" i="1" s="1"/>
  <c r="J76" i="1"/>
  <c r="O76" i="1" s="1"/>
  <c r="F76" i="1"/>
  <c r="G76" i="1" s="1"/>
  <c r="H76" i="1" s="1"/>
  <c r="O75" i="1"/>
  <c r="M75" i="1"/>
  <c r="N75" i="1" s="1"/>
  <c r="L75" i="1"/>
  <c r="K75" i="1"/>
  <c r="J75" i="1"/>
  <c r="F75" i="1"/>
  <c r="O74" i="1"/>
  <c r="N74" i="1"/>
  <c r="M74" i="1"/>
  <c r="L74" i="1"/>
  <c r="K74" i="1"/>
  <c r="J74" i="1"/>
  <c r="F74" i="1"/>
  <c r="O73" i="1"/>
  <c r="M73" i="1"/>
  <c r="K73" i="1"/>
  <c r="L73" i="1" s="1"/>
  <c r="J73" i="1"/>
  <c r="H73" i="1"/>
  <c r="F73" i="1"/>
  <c r="G73" i="1" s="1"/>
  <c r="K72" i="1"/>
  <c r="M72" i="1" s="1"/>
  <c r="J72" i="1"/>
  <c r="O72" i="1" s="1"/>
  <c r="F72" i="1"/>
  <c r="G72" i="1" s="1"/>
  <c r="O71" i="1"/>
  <c r="L71" i="1"/>
  <c r="K71" i="1"/>
  <c r="M71" i="1" s="1"/>
  <c r="N71" i="1" s="1"/>
  <c r="J71" i="1"/>
  <c r="F71" i="1"/>
  <c r="G71" i="1" s="1"/>
  <c r="H71" i="1" s="1"/>
  <c r="O70" i="1"/>
  <c r="M70" i="1"/>
  <c r="N70" i="1" s="1"/>
  <c r="L70" i="1"/>
  <c r="K70" i="1"/>
  <c r="J70" i="1"/>
  <c r="F70" i="1"/>
  <c r="O69" i="1"/>
  <c r="M69" i="1"/>
  <c r="N69" i="1" s="1"/>
  <c r="K69" i="1"/>
  <c r="L69" i="1" s="1"/>
  <c r="J69" i="1"/>
  <c r="F69" i="1"/>
  <c r="G69" i="1" s="1"/>
  <c r="H69" i="1" s="1"/>
  <c r="I68" i="1"/>
  <c r="K68" i="1" s="1"/>
  <c r="F68" i="1"/>
  <c r="G68" i="1" s="1"/>
  <c r="H68" i="1" s="1"/>
  <c r="K66" i="1"/>
  <c r="M66" i="1" s="1"/>
  <c r="J66" i="1"/>
  <c r="O66" i="1" s="1"/>
  <c r="F66" i="1"/>
  <c r="O65" i="1"/>
  <c r="M65" i="1"/>
  <c r="N65" i="1" s="1"/>
  <c r="L65" i="1"/>
  <c r="K65" i="1"/>
  <c r="J65" i="1"/>
  <c r="F65" i="1"/>
  <c r="K64" i="1"/>
  <c r="M64" i="1" s="1"/>
  <c r="J64" i="1"/>
  <c r="O64" i="1" s="1"/>
  <c r="F64" i="1"/>
  <c r="K63" i="1"/>
  <c r="M63" i="1" s="1"/>
  <c r="J63" i="1"/>
  <c r="O63" i="1" s="1"/>
  <c r="F63" i="1"/>
  <c r="G63" i="1" s="1"/>
  <c r="H63" i="1" s="1"/>
  <c r="K62" i="1"/>
  <c r="M62" i="1" s="1"/>
  <c r="J62" i="1"/>
  <c r="O62" i="1" s="1"/>
  <c r="F62" i="1"/>
  <c r="G62" i="1" s="1"/>
  <c r="O61" i="1"/>
  <c r="M61" i="1"/>
  <c r="N61" i="1" s="1"/>
  <c r="L61" i="1"/>
  <c r="K61" i="1"/>
  <c r="J61" i="1"/>
  <c r="F61" i="1"/>
  <c r="K60" i="1"/>
  <c r="L60" i="1" s="1"/>
  <c r="J60" i="1"/>
  <c r="O60" i="1" s="1"/>
  <c r="F60" i="1"/>
  <c r="M59" i="1"/>
  <c r="K59" i="1"/>
  <c r="L59" i="1" s="1"/>
  <c r="J59" i="1"/>
  <c r="O59" i="1" s="1"/>
  <c r="F59" i="1"/>
  <c r="G59" i="1" s="1"/>
  <c r="K58" i="1"/>
  <c r="M58" i="1" s="1"/>
  <c r="J58" i="1"/>
  <c r="O58" i="1" s="1"/>
  <c r="F58" i="1"/>
  <c r="G58" i="1" s="1"/>
  <c r="O57" i="1"/>
  <c r="M57" i="1"/>
  <c r="N57" i="1" s="1"/>
  <c r="K57" i="1"/>
  <c r="L57" i="1" s="1"/>
  <c r="J57" i="1"/>
  <c r="F57" i="1"/>
  <c r="K56" i="1"/>
  <c r="J56" i="1"/>
  <c r="O56" i="1" s="1"/>
  <c r="F56" i="1"/>
  <c r="L55" i="1"/>
  <c r="K55" i="1"/>
  <c r="M55" i="1" s="1"/>
  <c r="N55" i="1" s="1"/>
  <c r="J55" i="1"/>
  <c r="O55" i="1" s="1"/>
  <c r="F55" i="1"/>
  <c r="K54" i="1"/>
  <c r="M54" i="1" s="1"/>
  <c r="J54" i="1"/>
  <c r="O54" i="1" s="1"/>
  <c r="F54" i="1"/>
  <c r="G54" i="1" s="1"/>
  <c r="H54" i="1" s="1"/>
  <c r="O53" i="1"/>
  <c r="N53" i="1"/>
  <c r="M53" i="1"/>
  <c r="K53" i="1"/>
  <c r="L53" i="1" s="1"/>
  <c r="J53" i="1"/>
  <c r="F53" i="1"/>
  <c r="K52" i="1"/>
  <c r="M52" i="1" s="1"/>
  <c r="J52" i="1"/>
  <c r="O52" i="1" s="1"/>
  <c r="F52" i="1"/>
  <c r="M51" i="1"/>
  <c r="K51" i="1"/>
  <c r="L51" i="1" s="1"/>
  <c r="J51" i="1"/>
  <c r="O51" i="1" s="1"/>
  <c r="F51" i="1"/>
  <c r="K50" i="1"/>
  <c r="M50" i="1" s="1"/>
  <c r="J50" i="1"/>
  <c r="O50" i="1" s="1"/>
  <c r="G50" i="1"/>
  <c r="H50" i="1" s="1"/>
  <c r="F50" i="1"/>
  <c r="O49" i="1"/>
  <c r="M49" i="1"/>
  <c r="N49" i="1" s="1"/>
  <c r="K49" i="1"/>
  <c r="L49" i="1" s="1"/>
  <c r="J49" i="1"/>
  <c r="F49" i="1"/>
  <c r="O48" i="1"/>
  <c r="K48" i="1"/>
  <c r="M48" i="1" s="1"/>
  <c r="J48" i="1"/>
  <c r="F48" i="1"/>
  <c r="K46" i="1"/>
  <c r="M46" i="1" s="1"/>
  <c r="J46" i="1"/>
  <c r="O46" i="1" s="1"/>
  <c r="F46" i="1"/>
  <c r="G46" i="1" s="1"/>
  <c r="K45" i="1"/>
  <c r="M45" i="1" s="1"/>
  <c r="J45" i="1"/>
  <c r="O45" i="1" s="1"/>
  <c r="F45" i="1"/>
  <c r="G45" i="1" s="1"/>
  <c r="H45" i="1" s="1"/>
  <c r="O44" i="1"/>
  <c r="M44" i="1"/>
  <c r="N44" i="1" s="1"/>
  <c r="K44" i="1"/>
  <c r="L44" i="1" s="1"/>
  <c r="J44" i="1"/>
  <c r="F44" i="1"/>
  <c r="O43" i="1"/>
  <c r="M43" i="1"/>
  <c r="N43" i="1" s="1"/>
  <c r="L43" i="1"/>
  <c r="K43" i="1"/>
  <c r="J43" i="1"/>
  <c r="F43" i="1"/>
  <c r="K42" i="1"/>
  <c r="L42" i="1" s="1"/>
  <c r="J42" i="1"/>
  <c r="O42" i="1" s="1"/>
  <c r="F42" i="1"/>
  <c r="K41" i="1"/>
  <c r="M41" i="1" s="1"/>
  <c r="J41" i="1"/>
  <c r="O41" i="1" s="1"/>
  <c r="G41" i="1"/>
  <c r="F41" i="1"/>
  <c r="H41" i="1" s="1"/>
  <c r="O40" i="1"/>
  <c r="M40" i="1"/>
  <c r="N40" i="1" s="1"/>
  <c r="K40" i="1"/>
  <c r="L40" i="1" s="1"/>
  <c r="J40" i="1"/>
  <c r="F40" i="1"/>
  <c r="O38" i="1"/>
  <c r="M38" i="1"/>
  <c r="N38" i="1" s="1"/>
  <c r="K38" i="1"/>
  <c r="L38" i="1" s="1"/>
  <c r="J38" i="1"/>
  <c r="F38" i="1"/>
  <c r="I37" i="1"/>
  <c r="G37" i="1"/>
  <c r="H37" i="1" s="1"/>
  <c r="F37" i="1"/>
  <c r="J36" i="1"/>
  <c r="O36" i="1" s="1"/>
  <c r="I36" i="1"/>
  <c r="K36" i="1" s="1"/>
  <c r="F36" i="1"/>
  <c r="G36" i="1" s="1"/>
  <c r="I35" i="1"/>
  <c r="F35" i="1"/>
  <c r="G35" i="1" s="1"/>
  <c r="O34" i="1"/>
  <c r="M34" i="1"/>
  <c r="N34" i="1" s="1"/>
  <c r="L34" i="1"/>
  <c r="K34" i="1"/>
  <c r="J34" i="1"/>
  <c r="F34" i="1"/>
  <c r="M33" i="1"/>
  <c r="K33" i="1"/>
  <c r="L33" i="1" s="1"/>
  <c r="J33" i="1"/>
  <c r="O33" i="1" s="1"/>
  <c r="F33" i="1"/>
  <c r="M32" i="1"/>
  <c r="K32" i="1"/>
  <c r="L32" i="1" s="1"/>
  <c r="J32" i="1"/>
  <c r="O32" i="1" s="1"/>
  <c r="F32" i="1"/>
  <c r="K31" i="1"/>
  <c r="M31" i="1" s="1"/>
  <c r="J31" i="1"/>
  <c r="O31" i="1" s="1"/>
  <c r="G31" i="1"/>
  <c r="H31" i="1" s="1"/>
  <c r="F31" i="1"/>
  <c r="O30" i="1"/>
  <c r="M30" i="1"/>
  <c r="N30" i="1" s="1"/>
  <c r="L30" i="1"/>
  <c r="K30" i="1"/>
  <c r="J30" i="1"/>
  <c r="F30" i="1"/>
  <c r="O29" i="1"/>
  <c r="N29" i="1"/>
  <c r="M29" i="1"/>
  <c r="L29" i="1"/>
  <c r="K29" i="1"/>
  <c r="J29" i="1"/>
  <c r="I29" i="1"/>
  <c r="G29" i="1"/>
  <c r="F29" i="1"/>
  <c r="H29" i="1" s="1"/>
  <c r="I28" i="1"/>
  <c r="J28" i="1" s="1"/>
  <c r="O28" i="1" s="1"/>
  <c r="H28" i="1"/>
  <c r="G28" i="1"/>
  <c r="F28" i="1"/>
  <c r="I27" i="1"/>
  <c r="K27" i="1" s="1"/>
  <c r="F27" i="1"/>
  <c r="K26" i="1"/>
  <c r="M26" i="1" s="1"/>
  <c r="J26" i="1"/>
  <c r="O26" i="1" s="1"/>
  <c r="F26" i="1"/>
  <c r="G26" i="1" s="1"/>
  <c r="H26" i="1" s="1"/>
  <c r="O25" i="1"/>
  <c r="M25" i="1"/>
  <c r="N25" i="1" s="1"/>
  <c r="L25" i="1"/>
  <c r="K25" i="1"/>
  <c r="J25" i="1"/>
  <c r="F25" i="1"/>
  <c r="O24" i="1"/>
  <c r="N24" i="1"/>
  <c r="M24" i="1"/>
  <c r="K24" i="1"/>
  <c r="L24" i="1" s="1"/>
  <c r="J24" i="1"/>
  <c r="F24" i="1"/>
  <c r="K23" i="1"/>
  <c r="M23" i="1" s="1"/>
  <c r="J23" i="1"/>
  <c r="O23" i="1" s="1"/>
  <c r="F23" i="1"/>
  <c r="K22" i="1"/>
  <c r="M22" i="1" s="1"/>
  <c r="J22" i="1"/>
  <c r="O22" i="1" s="1"/>
  <c r="F22" i="1"/>
  <c r="G22" i="1" s="1"/>
  <c r="H22" i="1" s="1"/>
  <c r="O21" i="1"/>
  <c r="M21" i="1"/>
  <c r="N21" i="1" s="1"/>
  <c r="K21" i="1"/>
  <c r="L21" i="1" s="1"/>
  <c r="J21" i="1"/>
  <c r="F21" i="1"/>
  <c r="O20" i="1"/>
  <c r="L20" i="1"/>
  <c r="K20" i="1"/>
  <c r="M20" i="1" s="1"/>
  <c r="N20" i="1" s="1"/>
  <c r="J20" i="1"/>
  <c r="I20" i="1"/>
  <c r="G20" i="1"/>
  <c r="F20" i="1"/>
  <c r="H20" i="1" s="1"/>
  <c r="K19" i="1"/>
  <c r="M19" i="1" s="1"/>
  <c r="J19" i="1"/>
  <c r="O19" i="1" s="1"/>
  <c r="I19" i="1"/>
  <c r="H19" i="1"/>
  <c r="F19" i="1"/>
  <c r="G19" i="1" s="1"/>
  <c r="K18" i="1"/>
  <c r="M18" i="1" s="1"/>
  <c r="J18" i="1"/>
  <c r="O18" i="1" s="1"/>
  <c r="F18" i="1"/>
  <c r="O17" i="1"/>
  <c r="L17" i="1"/>
  <c r="K17" i="1"/>
  <c r="M17" i="1" s="1"/>
  <c r="N17" i="1" s="1"/>
  <c r="J17" i="1"/>
  <c r="F17" i="1"/>
  <c r="I16" i="1"/>
  <c r="K16" i="1" s="1"/>
  <c r="M16" i="1" s="1"/>
  <c r="F16" i="1"/>
  <c r="O15" i="1"/>
  <c r="M15" i="1"/>
  <c r="K15" i="1"/>
  <c r="L15" i="1" s="1"/>
  <c r="J15" i="1"/>
  <c r="I15" i="1"/>
  <c r="G15" i="1"/>
  <c r="F15" i="1"/>
  <c r="H15" i="1" s="1"/>
  <c r="O10" i="1"/>
  <c r="M10" i="1"/>
  <c r="L10" i="1"/>
  <c r="K10" i="1"/>
  <c r="J10" i="1"/>
  <c r="G10" i="1"/>
  <c r="H10" i="1" s="1"/>
  <c r="F10" i="1"/>
  <c r="K9" i="1"/>
  <c r="M9" i="1" s="1"/>
  <c r="J9" i="1"/>
  <c r="O9" i="1" s="1"/>
  <c r="F9" i="1"/>
  <c r="O6" i="1"/>
  <c r="K6" i="1"/>
  <c r="M6" i="1" s="1"/>
  <c r="J6" i="1"/>
  <c r="F6" i="1"/>
  <c r="G91" i="3" l="1"/>
  <c r="H91" i="3" s="1"/>
  <c r="G101" i="3"/>
  <c r="H101" i="3" s="1"/>
  <c r="N111" i="3"/>
  <c r="M28" i="3"/>
  <c r="L28" i="3"/>
  <c r="N61" i="3"/>
  <c r="H65" i="3"/>
  <c r="M36" i="3"/>
  <c r="L36" i="3"/>
  <c r="N41" i="3"/>
  <c r="H84" i="3"/>
  <c r="L90" i="3"/>
  <c r="N90" i="3" s="1"/>
  <c r="N114" i="3"/>
  <c r="H125" i="3"/>
  <c r="L21" i="3"/>
  <c r="N21" i="3" s="1"/>
  <c r="G47" i="3"/>
  <c r="H47" i="3" s="1"/>
  <c r="M54" i="3"/>
  <c r="L54" i="3"/>
  <c r="M70" i="3"/>
  <c r="L70" i="3"/>
  <c r="N99" i="3"/>
  <c r="H115" i="3"/>
  <c r="G125" i="3"/>
  <c r="G82" i="3"/>
  <c r="H82" i="3"/>
  <c r="L97" i="3"/>
  <c r="N97" i="3"/>
  <c r="N57" i="3"/>
  <c r="N68" i="3"/>
  <c r="G22" i="3"/>
  <c r="H22" i="3" s="1"/>
  <c r="N88" i="3"/>
  <c r="M109" i="3"/>
  <c r="N109" i="3" s="1"/>
  <c r="H132" i="3"/>
  <c r="F5" i="3"/>
  <c r="N24" i="3"/>
  <c r="G95" i="3"/>
  <c r="H95" i="3" s="1"/>
  <c r="G132" i="3"/>
  <c r="L20" i="3"/>
  <c r="N80" i="3"/>
  <c r="G17" i="3"/>
  <c r="H17" i="3" s="1"/>
  <c r="H74" i="3"/>
  <c r="M132" i="3"/>
  <c r="L132" i="3"/>
  <c r="L64" i="3"/>
  <c r="N64" i="3" s="1"/>
  <c r="G105" i="3"/>
  <c r="H105" i="3" s="1"/>
  <c r="N107" i="3"/>
  <c r="N23" i="3"/>
  <c r="H43" i="3"/>
  <c r="G135" i="3"/>
  <c r="H135" i="3"/>
  <c r="N33" i="3"/>
  <c r="M16" i="3"/>
  <c r="N16" i="3" s="1"/>
  <c r="N26" i="3"/>
  <c r="L66" i="3"/>
  <c r="M66" i="3"/>
  <c r="N66" i="3" s="1"/>
  <c r="N20" i="3"/>
  <c r="L50" i="3"/>
  <c r="N50" i="3" s="1"/>
  <c r="H78" i="3"/>
  <c r="G121" i="3"/>
  <c r="H121" i="3" s="1"/>
  <c r="N135" i="3"/>
  <c r="G15" i="3"/>
  <c r="H15" i="3" s="1"/>
  <c r="M18" i="3"/>
  <c r="N18" i="3" s="1"/>
  <c r="G27" i="3"/>
  <c r="H27" i="3" s="1"/>
  <c r="H49" i="3"/>
  <c r="M76" i="3"/>
  <c r="L76" i="3"/>
  <c r="L95" i="3"/>
  <c r="N95" i="3" s="1"/>
  <c r="N116" i="3"/>
  <c r="G130" i="3"/>
  <c r="H130" i="3" s="1"/>
  <c r="G49" i="3"/>
  <c r="H72" i="3"/>
  <c r="H93" i="3"/>
  <c r="L116" i="3"/>
  <c r="G38" i="3"/>
  <c r="H38" i="3" s="1"/>
  <c r="N15" i="3"/>
  <c r="L44" i="3"/>
  <c r="M44" i="3"/>
  <c r="N72" i="3"/>
  <c r="N130" i="3"/>
  <c r="M25" i="3"/>
  <c r="N25" i="3" s="1"/>
  <c r="G32" i="3"/>
  <c r="H32" i="3" s="1"/>
  <c r="M38" i="3"/>
  <c r="L38" i="3"/>
  <c r="G51" i="3"/>
  <c r="H51" i="3"/>
  <c r="G53" i="3"/>
  <c r="H53" i="3" s="1"/>
  <c r="N56" i="3"/>
  <c r="H69" i="3"/>
  <c r="L78" i="3"/>
  <c r="M78" i="3"/>
  <c r="N78" i="3" s="1"/>
  <c r="L80" i="3"/>
  <c r="H87" i="3"/>
  <c r="L93" i="3"/>
  <c r="N93" i="3" s="1"/>
  <c r="G115" i="3"/>
  <c r="L15" i="3"/>
  <c r="H24" i="3"/>
  <c r="K30" i="3"/>
  <c r="M47" i="3"/>
  <c r="N47" i="3" s="1"/>
  <c r="L58" i="3"/>
  <c r="N58" i="3" s="1"/>
  <c r="G65" i="3"/>
  <c r="G69" i="3"/>
  <c r="L82" i="3"/>
  <c r="M82" i="3"/>
  <c r="N82" i="3" s="1"/>
  <c r="L84" i="3"/>
  <c r="N84" i="3" s="1"/>
  <c r="M87" i="3"/>
  <c r="L87" i="3"/>
  <c r="J89" i="3"/>
  <c r="O89" i="3" s="1"/>
  <c r="M91" i="3"/>
  <c r="N91" i="3" s="1"/>
  <c r="G96" i="3"/>
  <c r="H96" i="3" s="1"/>
  <c r="M127" i="3"/>
  <c r="N127" i="3" s="1"/>
  <c r="M6" i="3"/>
  <c r="G24" i="3"/>
  <c r="G37" i="3"/>
  <c r="H37" i="3"/>
  <c r="G55" i="3"/>
  <c r="H55" i="3"/>
  <c r="N60" i="3"/>
  <c r="G73" i="3"/>
  <c r="H73" i="3" s="1"/>
  <c r="H77" i="3"/>
  <c r="J87" i="3"/>
  <c r="O87" i="3" s="1"/>
  <c r="M89" i="3"/>
  <c r="N89" i="3" s="1"/>
  <c r="G106" i="3"/>
  <c r="H106" i="3" s="1"/>
  <c r="J113" i="3"/>
  <c r="O113" i="3" s="1"/>
  <c r="M74" i="3"/>
  <c r="L74" i="3"/>
  <c r="K29" i="3"/>
  <c r="K5" i="3" s="1"/>
  <c r="H46" i="3"/>
  <c r="N49" i="3"/>
  <c r="L53" i="3"/>
  <c r="N53" i="3" s="1"/>
  <c r="G59" i="3"/>
  <c r="H59" i="3"/>
  <c r="G81" i="3"/>
  <c r="H81" i="3" s="1"/>
  <c r="G88" i="3"/>
  <c r="H88" i="3" s="1"/>
  <c r="N96" i="3"/>
  <c r="G102" i="3"/>
  <c r="H102" i="3" s="1"/>
  <c r="M19" i="3"/>
  <c r="L19" i="3"/>
  <c r="L24" i="3"/>
  <c r="G31" i="3"/>
  <c r="H31" i="3" s="1"/>
  <c r="H44" i="3"/>
  <c r="H61" i="3"/>
  <c r="H90" i="3"/>
  <c r="M94" i="3"/>
  <c r="L94" i="3"/>
  <c r="L106" i="3"/>
  <c r="G111" i="3"/>
  <c r="H111" i="3" s="1"/>
  <c r="G116" i="3"/>
  <c r="H116" i="3" s="1"/>
  <c r="M129" i="3"/>
  <c r="L129" i="3"/>
  <c r="M134" i="3"/>
  <c r="L134" i="3"/>
  <c r="K118" i="3"/>
  <c r="J118" i="3"/>
  <c r="O118" i="3" s="1"/>
  <c r="G26" i="3"/>
  <c r="H26" i="3" s="1"/>
  <c r="M65" i="3"/>
  <c r="L65" i="3"/>
  <c r="H94" i="3"/>
  <c r="N108" i="3"/>
  <c r="N110" i="3"/>
  <c r="N17" i="3"/>
  <c r="H39" i="3"/>
  <c r="H86" i="3"/>
  <c r="N106" i="3"/>
  <c r="L108" i="3"/>
  <c r="H9" i="3"/>
  <c r="M10" i="3"/>
  <c r="L10" i="3"/>
  <c r="G33" i="3"/>
  <c r="H33" i="3" s="1"/>
  <c r="L39" i="3"/>
  <c r="M39" i="3"/>
  <c r="N39" i="3" s="1"/>
  <c r="G64" i="3"/>
  <c r="H64" i="3"/>
  <c r="G97" i="3"/>
  <c r="H97" i="3" s="1"/>
  <c r="N102" i="3"/>
  <c r="H109" i="3"/>
  <c r="H114" i="3"/>
  <c r="L119" i="3"/>
  <c r="N119" i="3" s="1"/>
  <c r="L122" i="3"/>
  <c r="M122" i="3"/>
  <c r="N122" i="3" s="1"/>
  <c r="L124" i="3"/>
  <c r="N124" i="3" s="1"/>
  <c r="L126" i="3"/>
  <c r="M126" i="3"/>
  <c r="N126" i="3" s="1"/>
  <c r="N131" i="3"/>
  <c r="J38" i="3"/>
  <c r="O38" i="3" s="1"/>
  <c r="L48" i="3"/>
  <c r="N48" i="3" s="1"/>
  <c r="L52" i="3"/>
  <c r="N52" i="3" s="1"/>
  <c r="L56" i="3"/>
  <c r="L60" i="3"/>
  <c r="J65" i="3"/>
  <c r="O65" i="3" s="1"/>
  <c r="G90" i="3"/>
  <c r="L92" i="3"/>
  <c r="N92" i="3" s="1"/>
  <c r="G99" i="3"/>
  <c r="H99" i="3" s="1"/>
  <c r="G104" i="3"/>
  <c r="H104" i="3" s="1"/>
  <c r="G108" i="3"/>
  <c r="H108" i="3" s="1"/>
  <c r="L110" i="3"/>
  <c r="G114" i="3"/>
  <c r="L131" i="3"/>
  <c r="L136" i="3"/>
  <c r="N136" i="3" s="1"/>
  <c r="J18" i="3"/>
  <c r="O18" i="3" s="1"/>
  <c r="O5" i="3" s="1"/>
  <c r="R5" i="3" s="1"/>
  <c r="L23" i="3"/>
  <c r="L32" i="3"/>
  <c r="N32" i="3" s="1"/>
  <c r="G36" i="3"/>
  <c r="H36" i="3" s="1"/>
  <c r="G41" i="3"/>
  <c r="H41" i="3" s="1"/>
  <c r="G46" i="3"/>
  <c r="J47" i="3"/>
  <c r="O47" i="3" s="1"/>
  <c r="G68" i="3"/>
  <c r="H68" i="3" s="1"/>
  <c r="G72" i="3"/>
  <c r="G76" i="3"/>
  <c r="H76" i="3" s="1"/>
  <c r="G80" i="3"/>
  <c r="H80" i="3" s="1"/>
  <c r="G84" i="3"/>
  <c r="J91" i="3"/>
  <c r="O91" i="3" s="1"/>
  <c r="L96" i="3"/>
  <c r="L101" i="3"/>
  <c r="N101" i="3" s="1"/>
  <c r="L105" i="3"/>
  <c r="N105" i="3" s="1"/>
  <c r="J109" i="3"/>
  <c r="O109" i="3" s="1"/>
  <c r="L115" i="3"/>
  <c r="N115" i="3" s="1"/>
  <c r="G119" i="3"/>
  <c r="H119" i="3" s="1"/>
  <c r="G124" i="3"/>
  <c r="H124" i="3" s="1"/>
  <c r="G94" i="3"/>
  <c r="J95" i="3"/>
  <c r="O95" i="3" s="1"/>
  <c r="H109" i="1"/>
  <c r="H9" i="1"/>
  <c r="N19" i="1"/>
  <c r="G23" i="1"/>
  <c r="H23" i="1" s="1"/>
  <c r="L120" i="1"/>
  <c r="N120" i="1" s="1"/>
  <c r="L52" i="1"/>
  <c r="N10" i="1"/>
  <c r="K28" i="1"/>
  <c r="M125" i="1"/>
  <c r="L125" i="1"/>
  <c r="N45" i="1"/>
  <c r="G21" i="1"/>
  <c r="H21" i="1"/>
  <c r="N76" i="1"/>
  <c r="H119" i="1"/>
  <c r="G16" i="1"/>
  <c r="H16" i="1" s="1"/>
  <c r="N52" i="1"/>
  <c r="L63" i="1"/>
  <c r="N63" i="1" s="1"/>
  <c r="N23" i="1"/>
  <c r="L76" i="1"/>
  <c r="L88" i="1"/>
  <c r="N88" i="1" s="1"/>
  <c r="G9" i="1"/>
  <c r="L19" i="1"/>
  <c r="H35" i="1"/>
  <c r="G42" i="1"/>
  <c r="H42" i="1" s="1"/>
  <c r="L48" i="1"/>
  <c r="N48" i="1" s="1"/>
  <c r="M68" i="1"/>
  <c r="L68" i="1"/>
  <c r="G75" i="1"/>
  <c r="H75" i="1" s="1"/>
  <c r="H82" i="1"/>
  <c r="G109" i="1"/>
  <c r="N91" i="1"/>
  <c r="N132" i="1"/>
  <c r="H58" i="1"/>
  <c r="H92" i="1"/>
  <c r="H51" i="1"/>
  <c r="J68" i="1"/>
  <c r="O68" i="1" s="1"/>
  <c r="H87" i="1"/>
  <c r="K114" i="1"/>
  <c r="J114" i="1"/>
  <c r="O114" i="1" s="1"/>
  <c r="N78" i="1"/>
  <c r="L85" i="1"/>
  <c r="N85" i="1" s="1"/>
  <c r="N16" i="1"/>
  <c r="K37" i="1"/>
  <c r="J37" i="1"/>
  <c r="O37" i="1" s="1"/>
  <c r="L16" i="1"/>
  <c r="G133" i="1"/>
  <c r="H133" i="1"/>
  <c r="N41" i="1"/>
  <c r="G27" i="1"/>
  <c r="H27" i="1"/>
  <c r="N33" i="1"/>
  <c r="M36" i="1"/>
  <c r="N36" i="1" s="1"/>
  <c r="L36" i="1"/>
  <c r="L56" i="1"/>
  <c r="M56" i="1"/>
  <c r="N56" i="1" s="1"/>
  <c r="N73" i="1"/>
  <c r="H93" i="1"/>
  <c r="N107" i="1"/>
  <c r="G128" i="1"/>
  <c r="H128" i="1"/>
  <c r="N130" i="1"/>
  <c r="G18" i="1"/>
  <c r="H18" i="1" s="1"/>
  <c r="M27" i="1"/>
  <c r="L27" i="1"/>
  <c r="N59" i="1"/>
  <c r="G93" i="1"/>
  <c r="N15" i="1"/>
  <c r="G25" i="1"/>
  <c r="H25" i="1"/>
  <c r="H124" i="1"/>
  <c r="N50" i="1"/>
  <c r="K35" i="1"/>
  <c r="J35" i="1"/>
  <c r="O35" i="1" s="1"/>
  <c r="G106" i="1"/>
  <c r="H106" i="1" s="1"/>
  <c r="L130" i="1"/>
  <c r="H46" i="1"/>
  <c r="G51" i="1"/>
  <c r="M60" i="1"/>
  <c r="N60" i="1" s="1"/>
  <c r="H72" i="1"/>
  <c r="L80" i="1"/>
  <c r="N80" i="1" s="1"/>
  <c r="H100" i="1"/>
  <c r="H108" i="1"/>
  <c r="G113" i="1"/>
  <c r="H113" i="1" s="1"/>
  <c r="F5" i="1"/>
  <c r="L23" i="1"/>
  <c r="G34" i="1"/>
  <c r="H34" i="1"/>
  <c r="G53" i="1"/>
  <c r="H53" i="1"/>
  <c r="G55" i="1"/>
  <c r="H55" i="1" s="1"/>
  <c r="L64" i="1"/>
  <c r="N64" i="1" s="1"/>
  <c r="G66" i="1"/>
  <c r="H66" i="1" s="1"/>
  <c r="L77" i="1"/>
  <c r="N77" i="1" s="1"/>
  <c r="G79" i="1"/>
  <c r="H79" i="1" s="1"/>
  <c r="H84" i="1"/>
  <c r="L89" i="1"/>
  <c r="N89" i="1" s="1"/>
  <c r="G92" i="1"/>
  <c r="L93" i="1"/>
  <c r="M111" i="1"/>
  <c r="N111" i="1" s="1"/>
  <c r="M116" i="1"/>
  <c r="N116" i="1" s="1"/>
  <c r="G124" i="1"/>
  <c r="H132" i="1"/>
  <c r="H95" i="1"/>
  <c r="N101" i="1"/>
  <c r="G44" i="1"/>
  <c r="H44" i="1" s="1"/>
  <c r="N54" i="1"/>
  <c r="L101" i="1"/>
  <c r="G119" i="1"/>
  <c r="G49" i="1"/>
  <c r="H49" i="1" s="1"/>
  <c r="N58" i="1"/>
  <c r="H62" i="1"/>
  <c r="N93" i="1"/>
  <c r="M98" i="1"/>
  <c r="N98" i="1" s="1"/>
  <c r="L9" i="1"/>
  <c r="N9" i="1" s="1"/>
  <c r="L18" i="1"/>
  <c r="N18" i="1" s="1"/>
  <c r="J27" i="1"/>
  <c r="O27" i="1" s="1"/>
  <c r="N72" i="1"/>
  <c r="H6" i="1"/>
  <c r="G17" i="1"/>
  <c r="H17" i="1" s="1"/>
  <c r="H24" i="1"/>
  <c r="H36" i="1"/>
  <c r="M42" i="1"/>
  <c r="N42" i="1" s="1"/>
  <c r="L46" i="1"/>
  <c r="N46" i="1" s="1"/>
  <c r="H59" i="1"/>
  <c r="G61" i="1"/>
  <c r="H61" i="1"/>
  <c r="L72" i="1"/>
  <c r="H97" i="1"/>
  <c r="H99" i="1"/>
  <c r="L106" i="1"/>
  <c r="G110" i="1"/>
  <c r="H110" i="1" s="1"/>
  <c r="M121" i="1"/>
  <c r="N121" i="1" s="1"/>
  <c r="L127" i="1"/>
  <c r="N127" i="1" s="1"/>
  <c r="H129" i="1"/>
  <c r="H64" i="1"/>
  <c r="G30" i="1"/>
  <c r="H30" i="1" s="1"/>
  <c r="G32" i="1"/>
  <c r="H32" i="1" s="1"/>
  <c r="G6" i="1"/>
  <c r="G57" i="1"/>
  <c r="H57" i="1" s="1"/>
  <c r="N106" i="1"/>
  <c r="L119" i="1"/>
  <c r="M119" i="1"/>
  <c r="N119" i="1" s="1"/>
  <c r="H38" i="1"/>
  <c r="H43" i="1"/>
  <c r="L84" i="1"/>
  <c r="N84" i="1" s="1"/>
  <c r="H118" i="1"/>
  <c r="G40" i="1"/>
  <c r="H40" i="1"/>
  <c r="N32" i="1"/>
  <c r="H48" i="1"/>
  <c r="N51" i="1"/>
  <c r="G65" i="1"/>
  <c r="H65" i="1"/>
  <c r="H91" i="1"/>
  <c r="H33" i="1"/>
  <c r="L97" i="1"/>
  <c r="N97" i="1" s="1"/>
  <c r="N110" i="1"/>
  <c r="G123" i="1"/>
  <c r="H123" i="1" s="1"/>
  <c r="L22" i="1"/>
  <c r="N22" i="1" s="1"/>
  <c r="L26" i="1"/>
  <c r="N26" i="1" s="1"/>
  <c r="L31" i="1"/>
  <c r="N31" i="1" s="1"/>
  <c r="L41" i="1"/>
  <c r="L45" i="1"/>
  <c r="L50" i="1"/>
  <c r="L54" i="1"/>
  <c r="L58" i="1"/>
  <c r="L62" i="1"/>
  <c r="N62" i="1" s="1"/>
  <c r="L66" i="1"/>
  <c r="N66" i="1" s="1"/>
  <c r="G70" i="1"/>
  <c r="H70" i="1" s="1"/>
  <c r="G74" i="1"/>
  <c r="H74" i="1" s="1"/>
  <c r="G78" i="1"/>
  <c r="H78" i="1" s="1"/>
  <c r="G82" i="1"/>
  <c r="G86" i="1"/>
  <c r="H86" i="1" s="1"/>
  <c r="G91" i="1"/>
  <c r="G95" i="1"/>
  <c r="G99" i="1"/>
  <c r="G103" i="1"/>
  <c r="H103" i="1" s="1"/>
  <c r="G108" i="1"/>
  <c r="G112" i="1"/>
  <c r="H112" i="1" s="1"/>
  <c r="L124" i="1"/>
  <c r="N124" i="1" s="1"/>
  <c r="L129" i="1"/>
  <c r="N129" i="1" s="1"/>
  <c r="L134" i="1"/>
  <c r="N134" i="1" s="1"/>
  <c r="L6" i="1"/>
  <c r="J16" i="1"/>
  <c r="O16" i="1" s="1"/>
  <c r="O5" i="1" s="1"/>
  <c r="R5" i="1" s="1"/>
  <c r="G24" i="1"/>
  <c r="G33" i="1"/>
  <c r="G38" i="1"/>
  <c r="G43" i="1"/>
  <c r="G48" i="1"/>
  <c r="G52" i="1"/>
  <c r="H52" i="1" s="1"/>
  <c r="G56" i="1"/>
  <c r="H56" i="1" s="1"/>
  <c r="G60" i="1"/>
  <c r="H60" i="1" s="1"/>
  <c r="G64" i="1"/>
  <c r="L118" i="1"/>
  <c r="N118" i="1" s="1"/>
  <c r="G121" i="1"/>
  <c r="H121" i="1" s="1"/>
  <c r="G127" i="1"/>
  <c r="H127" i="1" s="1"/>
  <c r="G132" i="1"/>
  <c r="M118" i="3" l="1"/>
  <c r="L118" i="3"/>
  <c r="N94" i="3"/>
  <c r="N28" i="3"/>
  <c r="N134" i="3"/>
  <c r="G5" i="3"/>
  <c r="N129" i="3"/>
  <c r="N87" i="3"/>
  <c r="N74" i="3"/>
  <c r="N38" i="3"/>
  <c r="L30" i="3"/>
  <c r="M30" i="3"/>
  <c r="N36" i="3"/>
  <c r="H5" i="3"/>
  <c r="N54" i="3"/>
  <c r="N19" i="3"/>
  <c r="N6" i="3"/>
  <c r="M29" i="3"/>
  <c r="M5" i="3" s="1"/>
  <c r="L29" i="3"/>
  <c r="L5" i="3" s="1"/>
  <c r="N76" i="3"/>
  <c r="N70" i="3"/>
  <c r="N10" i="3"/>
  <c r="N65" i="3"/>
  <c r="N44" i="3"/>
  <c r="N132" i="3"/>
  <c r="M37" i="1"/>
  <c r="L37" i="1"/>
  <c r="N68" i="1"/>
  <c r="M35" i="1"/>
  <c r="N35" i="1" s="1"/>
  <c r="L35" i="1"/>
  <c r="N6" i="1"/>
  <c r="G5" i="1"/>
  <c r="M114" i="1"/>
  <c r="L114" i="1"/>
  <c r="L5" i="1" s="1"/>
  <c r="H5" i="1"/>
  <c r="N125" i="1"/>
  <c r="K5" i="1"/>
  <c r="M28" i="1"/>
  <c r="L28" i="1"/>
  <c r="N27" i="1"/>
  <c r="N29" i="3" l="1"/>
  <c r="N5" i="3" s="1"/>
  <c r="N118" i="3"/>
  <c r="N30" i="3"/>
  <c r="N114" i="1"/>
  <c r="N28" i="1"/>
  <c r="N5" i="1" s="1"/>
  <c r="M5" i="1"/>
  <c r="N37" i="1"/>
</calcChain>
</file>

<file path=xl/sharedStrings.xml><?xml version="1.0" encoding="utf-8"?>
<sst xmlns="http://schemas.openxmlformats.org/spreadsheetml/2006/main" count="1752" uniqueCount="737">
  <si>
    <t>Payments Status  NOIDA Project: EPC Package</t>
  </si>
  <si>
    <t>S. No.</t>
  </si>
  <si>
    <t>Service</t>
  </si>
  <si>
    <t>AS per PO and BBU</t>
  </si>
  <si>
    <t>Total Payment incl GST</t>
  </si>
  <si>
    <t>Remarks</t>
  </si>
  <si>
    <t>UOM</t>
  </si>
  <si>
    <t>QTY</t>
  </si>
  <si>
    <t>UNIT RATE</t>
  </si>
  <si>
    <t>PO Amount</t>
  </si>
  <si>
    <t>GST Amount as per PO</t>
  </si>
  <si>
    <t>Total Amount incl GST as per PO</t>
  </si>
  <si>
    <t>Billed QTY</t>
  </si>
  <si>
    <t>Balance QTY</t>
  </si>
  <si>
    <t>Bill Amount</t>
  </si>
  <si>
    <t>GST Amount</t>
  </si>
  <si>
    <t>Sucessful Completion of PG Test for Entire EPC Package</t>
  </si>
  <si>
    <t>Balance Amount</t>
  </si>
  <si>
    <t>II</t>
  </si>
  <si>
    <t xml:space="preserve">EPC Package_SC AS per PO No. 5500044305-109-2C04 </t>
  </si>
  <si>
    <t>Local Transportation including port clearance and port charges and Inland insurance charges for Main Equipments</t>
  </si>
  <si>
    <t>Set</t>
  </si>
  <si>
    <t>Installation Services for Main Equipment excluding factory Fabricated Structures</t>
  </si>
  <si>
    <t>EQUIPMENT FOR MAIN PLANT</t>
  </si>
  <si>
    <t xml:space="preserve"> </t>
  </si>
  <si>
    <t>Main Equipment excluding Factory Fabricated Steel Structure</t>
  </si>
  <si>
    <t>Lot</t>
  </si>
  <si>
    <t>Erection of Factory Fabricated Steel Structures</t>
  </si>
  <si>
    <t>Civil, Structure &amp; Architectural Works</t>
  </si>
  <si>
    <t>A</t>
  </si>
  <si>
    <t>Roads with shoulder</t>
  </si>
  <si>
    <t>GSB &amp; WMM (CH 00.00 to CH 235.00)</t>
  </si>
  <si>
    <t>%</t>
  </si>
  <si>
    <t>DLC (CH 00.00 to CH 235.00)</t>
  </si>
  <si>
    <t>PQC (CH 00.00 to CH 235.00)</t>
  </si>
  <si>
    <t>Shoulder (CH 00.00 to CH 235.00)</t>
  </si>
  <si>
    <t>GSB &amp; WMM (CH 235.00 to CH 470.00)</t>
  </si>
  <si>
    <t>DLC (CH 235.00 to CH 470.00)</t>
  </si>
  <si>
    <t>PQC (CH 235.00 to CH 470.00)</t>
  </si>
  <si>
    <t>Shoulder (CH 235.00 to CH 470.00)</t>
  </si>
  <si>
    <t>GSB &amp; WMM (CH 470.00 to CH 705.00)</t>
  </si>
  <si>
    <t>DLC GSB &amp; WMM (CH 470.00 to CH 705.00)</t>
  </si>
  <si>
    <t>PQC GSB &amp; WMM (CH 470.00 to CH 705.00)</t>
  </si>
  <si>
    <t>Shoulder GSB &amp; WMM (CH 470.00 to CH 705.00)</t>
  </si>
  <si>
    <t>GSB &amp; WMM (CH 705.00 to CH 940.00)</t>
  </si>
  <si>
    <t>DLC (CH 705.00 to CH 940.00)</t>
  </si>
  <si>
    <t>PQC (CH 705.00 to CH 940.00)</t>
  </si>
  <si>
    <t>Shoulder (CH 705.00 to CH 940.00)</t>
  </si>
  <si>
    <t>GSB &amp; WMM, Connecting roads to shed (~ 222m)</t>
  </si>
  <si>
    <t>DLC, Connecting roads to shed (~ 222m)</t>
  </si>
  <si>
    <t>PQC, Connecting roads to shed (~ 222m)</t>
  </si>
  <si>
    <t>Shoulder Connecting roads to shed (~ 222m)</t>
  </si>
  <si>
    <t>GSB &amp; WMM, Peripheral road (~ 572m)</t>
  </si>
  <si>
    <t>DLC, Peripheral road (~ 572m)</t>
  </si>
  <si>
    <t>PQC, Peripheral road (~ 572m)</t>
  </si>
  <si>
    <t>Shoulder, Peripheral road (~ 572m)</t>
  </si>
  <si>
    <t>B</t>
  </si>
  <si>
    <t>Drainage and harvesting pit</t>
  </si>
  <si>
    <t>Complete up to walls (CH 00.00 to CH 235.00)</t>
  </si>
  <si>
    <t>Complete up to walls (CH 235.00 to CH 470.00)</t>
  </si>
  <si>
    <t>Complete up to walls (CH 470.00 to CH 705.00)</t>
  </si>
  <si>
    <t>Complete up to walls (CH 705.00 to CH 940.00)</t>
  </si>
  <si>
    <t>Complete up to walls (Connecting roads to shed)</t>
  </si>
  <si>
    <t>Complete up to walls (Peripheral road)</t>
  </si>
  <si>
    <t>Harvesting Pit</t>
  </si>
  <si>
    <t>C</t>
  </si>
  <si>
    <t>Balance of plant foundations</t>
  </si>
  <si>
    <t>Foundation of Inert silo (Silo 1)</t>
  </si>
  <si>
    <t>Silo Super Structure Inert silo (Silo 1)</t>
  </si>
  <si>
    <t>Foundation of Inert silo (Silo 2)</t>
  </si>
  <si>
    <t>Silo Super Structure Inert silo (Silo 2)</t>
  </si>
  <si>
    <t>Foundation of Char silo (Silo 1)</t>
  </si>
  <si>
    <t>Silo Super Structure Char silo (Silo 1)</t>
  </si>
  <si>
    <t>Foundation of Char silo (Silo 2)</t>
  </si>
  <si>
    <t>Silo Super Structure Char silo (Silo 2)</t>
  </si>
  <si>
    <t xml:space="preserve">Chimney with Gas cleaning system foundations </t>
  </si>
  <si>
    <t>Foundation of Air vent 1 &amp; 2</t>
  </si>
  <si>
    <t>LTP &amp; ETP foundations &amp; floor</t>
  </si>
  <si>
    <t>Firefighting water storage tank foundations</t>
  </si>
  <si>
    <t>Firefighting pumps and other equipment foundations</t>
  </si>
  <si>
    <t>Firefighting station floor</t>
  </si>
  <si>
    <t>Fire Pipe line foundation</t>
  </si>
  <si>
    <t xml:space="preserve">Foundation of weigh bridge </t>
  </si>
  <si>
    <t>DG set foundation</t>
  </si>
  <si>
    <t>Transformer foundation</t>
  </si>
  <si>
    <t>Highmast light foundations</t>
  </si>
  <si>
    <t>D</t>
  </si>
  <si>
    <t>Complete civil &amp; finishing works of CMCS building</t>
  </si>
  <si>
    <t>Foundation up to plinth beam, including plinth beam</t>
  </si>
  <si>
    <t>Earth back filling, trenches and GSB under floors</t>
  </si>
  <si>
    <t>Column, lintel Beams &amp; including projections up to slab beam bottom level (GF)</t>
  </si>
  <si>
    <t>Beams &amp; Slab (GF)</t>
  </si>
  <si>
    <t>Brickwork including openings (GF)</t>
  </si>
  <si>
    <t>(Concealed) Plumbing and Sanitation (GF)</t>
  </si>
  <si>
    <t xml:space="preserve">Inside plaster (GF) </t>
  </si>
  <si>
    <t>Column, lintel Beams &amp; including projections up to slab beam bottom level (FF)</t>
  </si>
  <si>
    <t>Beams &amp; Slab (FF)</t>
  </si>
  <si>
    <t>Brickwork including openings (FF)</t>
  </si>
  <si>
    <t>(Concealed) Plumbing and Sanitation (FF)</t>
  </si>
  <si>
    <t>Inside plaster (FF)</t>
  </si>
  <si>
    <t>Fixing of doors and windows</t>
  </si>
  <si>
    <t>Fixing of all sanitary items in toilets</t>
  </si>
  <si>
    <t>Flooring and tiling (GF)</t>
  </si>
  <si>
    <t>Flooring and tiling (FF)</t>
  </si>
  <si>
    <t>Outside plastering</t>
  </si>
  <si>
    <t>Inside finishing (GF)</t>
  </si>
  <si>
    <t>Inside finishing (FF)</t>
  </si>
  <si>
    <t>Outside finishing</t>
  </si>
  <si>
    <t>Terrace water proofing, screed concrete &amp; fixing of traps for rain water pipes</t>
  </si>
  <si>
    <t>Plinth protection &amp; Drain with cover</t>
  </si>
  <si>
    <t>E</t>
  </si>
  <si>
    <t>Complete civil &amp; finishing works of main plant shed</t>
  </si>
  <si>
    <t>Raft of MSW pit</t>
  </si>
  <si>
    <t>Walls of MSW pit</t>
  </si>
  <si>
    <t>Water proofing / Apoxy Painting of MSW pit</t>
  </si>
  <si>
    <t>Foundations and pedestal of shed including foundation bolt (Zone A)</t>
  </si>
  <si>
    <t>Foundations and pedestal of shed including foundation bolt (Zone B)</t>
  </si>
  <si>
    <t>Foundations and pedestal of shed including foundation bolt (Zone C)</t>
  </si>
  <si>
    <t>Plinth beam (Zone A)</t>
  </si>
  <si>
    <t>Plinth beam (Zone B)</t>
  </si>
  <si>
    <t>Plinth beam (Zone C)</t>
  </si>
  <si>
    <t>Grade slab and flooring (Zone A)</t>
  </si>
  <si>
    <t>Grade slab and flooring (Zone B)</t>
  </si>
  <si>
    <t>Grade slab and flooring (Zone C)</t>
  </si>
  <si>
    <t>Parapet &amp; Plinth protection</t>
  </si>
  <si>
    <t>Shed peripheral drain with cover</t>
  </si>
  <si>
    <t>F</t>
  </si>
  <si>
    <t>Individual equipment foundations inside the main plant shed</t>
  </si>
  <si>
    <t>Foundation of  MSW Hopper (4 Sets)</t>
  </si>
  <si>
    <t>Foundation of Drum Dryer (4 Sets)</t>
  </si>
  <si>
    <t>Foundation of  MSW Conveyor (4 Sets)</t>
  </si>
  <si>
    <t>Foundation of Ballistic Separator (4 Sets)</t>
  </si>
  <si>
    <t>Foundation of Shredder Conveyor (4 Sets)</t>
  </si>
  <si>
    <t>Foundation of Shredder (4 Sets)</t>
  </si>
  <si>
    <t>Foundation of RDF Conveyor (4 Sets)</t>
  </si>
  <si>
    <t>Foundation of RDF Hopper (4 Sets)</t>
  </si>
  <si>
    <t>Foundation of Reactor (4 Sets)</t>
  </si>
  <si>
    <t>Air compressor foundation</t>
  </si>
  <si>
    <t>Misc. Civil Works</t>
  </si>
  <si>
    <t>G</t>
  </si>
  <si>
    <t>Complete civil &amp; finishing works of all other buildings</t>
  </si>
  <si>
    <t>Rest room and toilet</t>
  </si>
  <si>
    <t>Security rooms</t>
  </si>
  <si>
    <t>Car parking shed</t>
  </si>
  <si>
    <t>Area paving (Paver blocks)</t>
  </si>
  <si>
    <t>H</t>
  </si>
  <si>
    <t>Leacheat sump &amp; Cooling Tower foundation</t>
  </si>
  <si>
    <t>Raft, Wall and covers</t>
  </si>
  <si>
    <t>Cooling Tower Foundation</t>
  </si>
  <si>
    <t>I</t>
  </si>
  <si>
    <t xml:space="preserve">Earth filling &amp; area development </t>
  </si>
  <si>
    <t>J</t>
  </si>
  <si>
    <t>Horticulture with fountain</t>
  </si>
  <si>
    <t>Plantations of trees</t>
  </si>
  <si>
    <t>Plantation of bushes</t>
  </si>
  <si>
    <t>Plantation of grasses</t>
  </si>
  <si>
    <t>Fountain</t>
  </si>
  <si>
    <t>Site Fabricated Steel Structure</t>
  </si>
  <si>
    <t>i</t>
  </si>
  <si>
    <t>Supply , Fabrication, &amp; erection of site fabricated steel structure works</t>
  </si>
  <si>
    <t>Training Charges</t>
  </si>
  <si>
    <t>Amount Linked to Safety Aspects</t>
  </si>
  <si>
    <t>Payments Status Hubballi Project: EPC Package</t>
  </si>
  <si>
    <t>EPC Package_SC AS per PO No. 5500045014-109-2C05 dated 13.08.2024</t>
  </si>
  <si>
    <t>GSB &amp; WMM (CH 00.00 to CH 193.00)</t>
  </si>
  <si>
    <t>DLC (CH 00.00 to CH 193.00)</t>
  </si>
  <si>
    <t>PQC (CH 00.00 to CH 193.00)</t>
  </si>
  <si>
    <t>Shoulder (CH 00.00 to CH 193.00)</t>
  </si>
  <si>
    <t>GSB &amp; WMM (CH 193.00 to CH 385.00)</t>
  </si>
  <si>
    <t>DLC (CH 193.00 to CH 385.00)</t>
  </si>
  <si>
    <t>PQC (CH 193.00 to CH 385.00)</t>
  </si>
  <si>
    <t>Shoulder (CH 193.00 to CH 385.00)</t>
  </si>
  <si>
    <t>GSB &amp; WMM (CH 385.00 to CH 578.00)</t>
  </si>
  <si>
    <t>DLC (CH 385.00 to CH 578.00)</t>
  </si>
  <si>
    <t>PQC (CH 385.00 to CH 578.00)</t>
  </si>
  <si>
    <t>Shoulder (CH 385.00 to CH 578.00)</t>
  </si>
  <si>
    <t>GSB &amp; WMM (CH 578.00 to CH 771.00)</t>
  </si>
  <si>
    <t>DLC (CH 578.00 to CH 771.00)</t>
  </si>
  <si>
    <t>PQC (CH 578.00 to CH 771.00)</t>
  </si>
  <si>
    <t>Shoulder (CH 578.00 to CH 771.00)</t>
  </si>
  <si>
    <t>GSB &amp; WMM, Connecting roads to shed (~ 89m)</t>
  </si>
  <si>
    <t>DLC, Connecting roads to shed (~ 89m)</t>
  </si>
  <si>
    <t>PQC, Connecting roads to shed (~ 89m)</t>
  </si>
  <si>
    <t>Shoulder Connecting roads to shed (~ 89m)</t>
  </si>
  <si>
    <t>Chimney with Gas cleaning system foundations</t>
  </si>
  <si>
    <t xml:space="preserve">Foundation of Air vent </t>
  </si>
  <si>
    <t>Foundation of  MSW Hopper (2 Sets)</t>
  </si>
  <si>
    <t>Foundation of Drum Dryer (2 Sets)</t>
  </si>
  <si>
    <t>Foundation of  MSW Conveyor (2 Sets)</t>
  </si>
  <si>
    <t>Foundation of Ballistic Separator (2 Sets)</t>
  </si>
  <si>
    <t>Foundation of Shredder Conveyor (2 Sets)</t>
  </si>
  <si>
    <t>Foundation of Shredder (2 Sets)</t>
  </si>
  <si>
    <t>Foundation of RDF Conveyor (2 Sets)</t>
  </si>
  <si>
    <t>Foundation of RDF Hopper (2 Sets)</t>
  </si>
  <si>
    <t>Foundation of Reactor (2 Sets)</t>
  </si>
  <si>
    <t>Boundary wall with gates</t>
  </si>
  <si>
    <t>Foundations up to and including plinth beam (Side 1)</t>
  </si>
  <si>
    <t>Super structure Column, beam and coping beam (Side1)</t>
  </si>
  <si>
    <t>Both side plastering (Side 1)</t>
  </si>
  <si>
    <t>Foundations up to and including plinth beam (Side 2)</t>
  </si>
  <si>
    <t>Super structure Column, beam and coping beam (Side 2)</t>
  </si>
  <si>
    <t>Both side plastering (Side 2)</t>
  </si>
  <si>
    <t>Earth Filling &amp; area development</t>
  </si>
  <si>
    <t>K</t>
  </si>
  <si>
    <t>Payments Status Gorakhpur Project: EPC Package</t>
  </si>
  <si>
    <t>ii</t>
  </si>
  <si>
    <t>a</t>
  </si>
  <si>
    <t xml:space="preserve"> SITE INVESTIGATION AND PREPARATION</t>
  </si>
  <si>
    <t>Topographical survey</t>
  </si>
  <si>
    <t>AREA CLEARING, GRUBBING AND COMPACTION OF VIRGIN/ORIGINAL EARTH SURFACE</t>
  </si>
  <si>
    <t>SQM</t>
  </si>
  <si>
    <t xml:space="preserve">Earth filling works </t>
  </si>
  <si>
    <t>Cum</t>
  </si>
  <si>
    <t>Initial Test Pile completion</t>
  </si>
  <si>
    <t>Nos</t>
  </si>
  <si>
    <t>Initial Test Pile Testing</t>
  </si>
  <si>
    <t xml:space="preserve">Construction of balance Existing Boundary Walls </t>
  </si>
  <si>
    <t>RM</t>
  </si>
  <si>
    <t xml:space="preserve">Construction of balance New  Boundary Walls </t>
  </si>
  <si>
    <t xml:space="preserve">Plaster &amp; painting  of balance New  Boundary Walls &amp; Existing Boundary Walls </t>
  </si>
  <si>
    <t>Concertina Coil Fencing with Y angle</t>
  </si>
  <si>
    <t>EMPLOYER FACILITIES</t>
  </si>
  <si>
    <t>b</t>
  </si>
  <si>
    <t>CIVIL WORKS FOR COMMON FACILITIES INCLUDING MSW PIT, CHIMNEY AND TRUCK BAY</t>
  </si>
  <si>
    <r>
      <rPr>
        <b/>
        <sz val="11"/>
        <rFont val="Calibri"/>
        <family val="2"/>
      </rPr>
      <t>Lot</t>
    </r>
  </si>
  <si>
    <t>B1</t>
  </si>
  <si>
    <t xml:space="preserve">WET ESP Work Foundation  </t>
  </si>
  <si>
    <t>Sets</t>
  </si>
  <si>
    <t>B1.1</t>
  </si>
  <si>
    <t>Excavation</t>
  </si>
  <si>
    <t>B1.2</t>
  </si>
  <si>
    <t>RCC for Foundation up- Raft including Tie beam if any</t>
  </si>
  <si>
    <t>B1.3</t>
  </si>
  <si>
    <t xml:space="preserve">RCC Column/Pedestal above Raft to Bolt level </t>
  </si>
  <si>
    <t>B2</t>
  </si>
  <si>
    <t>ID Fan Foundation work</t>
  </si>
  <si>
    <t>B2.1</t>
  </si>
  <si>
    <t>GSB with metal soiling</t>
  </si>
  <si>
    <t>B2.2</t>
  </si>
  <si>
    <t>RCC for Foundation/Slab</t>
  </si>
  <si>
    <t>B3</t>
  </si>
  <si>
    <t>FD Fan Foundation work</t>
  </si>
  <si>
    <t>B3.1</t>
  </si>
  <si>
    <t>B3.2</t>
  </si>
  <si>
    <t>B4</t>
  </si>
  <si>
    <t>TG Fan Foundation work</t>
  </si>
  <si>
    <t>B4.1</t>
  </si>
  <si>
    <t>B4.2</t>
  </si>
  <si>
    <t>B5</t>
  </si>
  <si>
    <t>Cooling Tower Foundation work</t>
  </si>
  <si>
    <t>B5.1</t>
  </si>
  <si>
    <t>B5.2</t>
  </si>
  <si>
    <t>B6</t>
  </si>
  <si>
    <t>Air Compressor, Air Dryer &amp; reciver and Nitrogen Foundation work</t>
  </si>
  <si>
    <t>B6.1</t>
  </si>
  <si>
    <t>B6.2</t>
  </si>
  <si>
    <t>B7</t>
  </si>
  <si>
    <t>Chimney Foundation</t>
  </si>
  <si>
    <t>B7.1</t>
  </si>
  <si>
    <t>Pile</t>
  </si>
  <si>
    <t>B7.2</t>
  </si>
  <si>
    <t>B7.3</t>
  </si>
  <si>
    <t>Raft foundation</t>
  </si>
  <si>
    <t>B7.4</t>
  </si>
  <si>
    <t>Backfilling</t>
  </si>
  <si>
    <t>B8</t>
  </si>
  <si>
    <t>MSW PIT AREA CIVIL WORK</t>
  </si>
  <si>
    <t>B8.1</t>
  </si>
  <si>
    <t>B8.2</t>
  </si>
  <si>
    <t xml:space="preserve">RCC for PIT  Raft </t>
  </si>
  <si>
    <t>B8.3</t>
  </si>
  <si>
    <t>RCC Wall - 1st Lift</t>
  </si>
  <si>
    <t>B8.4</t>
  </si>
  <si>
    <t>RCC Wall - 2nd Lift</t>
  </si>
  <si>
    <t>B8.5</t>
  </si>
  <si>
    <t>RCC Wall - 3rd Lift</t>
  </si>
  <si>
    <t>B9</t>
  </si>
  <si>
    <t xml:space="preserve">MSW PIT Shed  Foundation </t>
  </si>
  <si>
    <t xml:space="preserve">Nos </t>
  </si>
  <si>
    <t>B9.1</t>
  </si>
  <si>
    <t xml:space="preserve">Excavation </t>
  </si>
  <si>
    <t>B9.2</t>
  </si>
  <si>
    <t xml:space="preserve">RCC for Foundation up- Raft including </t>
  </si>
  <si>
    <t>B9.3</t>
  </si>
  <si>
    <t xml:space="preserve">Tie beam </t>
  </si>
  <si>
    <t>B9.4</t>
  </si>
  <si>
    <t>B9.5</t>
  </si>
  <si>
    <t xml:space="preserve">Back filling and compaction </t>
  </si>
  <si>
    <t>c</t>
  </si>
  <si>
    <t>CIVIL WORKS FOR PRE-PROCESSING, TORREFACTION AND POST PROCESSING FACILITIES</t>
  </si>
  <si>
    <t>C.1</t>
  </si>
  <si>
    <t xml:space="preserve">Exiting Shed Column  civil  foundation strengthening </t>
  </si>
  <si>
    <t>C.1.1</t>
  </si>
  <si>
    <t xml:space="preserve">Exavation </t>
  </si>
  <si>
    <t>C.1.2</t>
  </si>
  <si>
    <t xml:space="preserve">RCC for Foundation - Raft </t>
  </si>
  <si>
    <t>C.1.3</t>
  </si>
  <si>
    <t>C.2</t>
  </si>
  <si>
    <t>Reactor foundation  work for stream A,B,C</t>
  </si>
  <si>
    <t>C.2.1</t>
  </si>
  <si>
    <t>C.2.2</t>
  </si>
  <si>
    <t>C.2.3</t>
  </si>
  <si>
    <t>C.3</t>
  </si>
  <si>
    <t>Drum  dryer foundation work for stream A,B,C</t>
  </si>
  <si>
    <t>C.3.1</t>
  </si>
  <si>
    <t>C.3.2</t>
  </si>
  <si>
    <t>C.3.3</t>
  </si>
  <si>
    <t>C.4</t>
  </si>
  <si>
    <t>Ballistic separator  foundation work for stream A,B,C</t>
  </si>
  <si>
    <t>C.4.1</t>
  </si>
  <si>
    <t>C.4.2</t>
  </si>
  <si>
    <t>C.4.3</t>
  </si>
  <si>
    <t>C.5</t>
  </si>
  <si>
    <t xml:space="preserve">New column in exiting Shed </t>
  </si>
  <si>
    <t>C.5.1</t>
  </si>
  <si>
    <t>C.5.2</t>
  </si>
  <si>
    <t>C.5.3</t>
  </si>
  <si>
    <t>C.6</t>
  </si>
  <si>
    <t>RCC flooring/grade slab  inside shed area with integrated equipment Shredder,trommel and ADS foundations etc.</t>
  </si>
  <si>
    <t>C.6.1</t>
  </si>
  <si>
    <t>Shredder Foundation  work</t>
  </si>
  <si>
    <t>C.6.2</t>
  </si>
  <si>
    <t>trommel foundation  work</t>
  </si>
  <si>
    <t>C.6.3</t>
  </si>
  <si>
    <t>ADS foundation work</t>
  </si>
  <si>
    <t>C.6.4</t>
  </si>
  <si>
    <t xml:space="preserve">Miscellaneous  on grade slab  footing if any </t>
  </si>
  <si>
    <t>C.7</t>
  </si>
  <si>
    <t>RDF Silo Foundations for stream A,B,C</t>
  </si>
  <si>
    <t>C.7.1</t>
  </si>
  <si>
    <t>C.7.2</t>
  </si>
  <si>
    <t>C.7.3</t>
  </si>
  <si>
    <t>C.8</t>
  </si>
  <si>
    <t>Post processing equiment foundation  ( in side the shed area) for stream A,B,C</t>
  </si>
  <si>
    <t>C.8.1</t>
  </si>
  <si>
    <t>C.8.2</t>
  </si>
  <si>
    <t>C.8.3</t>
  </si>
  <si>
    <t>d</t>
  </si>
  <si>
    <t xml:space="preserve">CIVIL WORKS FOR TANKS, TRENCHES AND  ROADS/PAVEMENTS </t>
  </si>
  <si>
    <t>D1</t>
  </si>
  <si>
    <t xml:space="preserve">ROADS/PAVEMENTS </t>
  </si>
  <si>
    <t>D1.1</t>
  </si>
  <si>
    <t>Excavation Works</t>
  </si>
  <si>
    <t>D1.2</t>
  </si>
  <si>
    <t>Preparation of sub grade(WBM/PCC/DLC)</t>
  </si>
  <si>
    <t>D1.3</t>
  </si>
  <si>
    <t>RCC/PQC</t>
  </si>
  <si>
    <t>D2</t>
  </si>
  <si>
    <t>DRAIN</t>
  </si>
  <si>
    <t>D2.1</t>
  </si>
  <si>
    <t>Drain along the road</t>
  </si>
  <si>
    <t>e</t>
  </si>
  <si>
    <t>CIVIL WORKS FOR BUILDING(S)</t>
  </si>
  <si>
    <t>E.1</t>
  </si>
  <si>
    <t>E.2</t>
  </si>
  <si>
    <t>RCC Column from Raft  to Plinth beam bottom</t>
  </si>
  <si>
    <t>E.3</t>
  </si>
  <si>
    <t>RCC Plinth beam</t>
  </si>
  <si>
    <t>E.4</t>
  </si>
  <si>
    <t xml:space="preserve">Columns up to  roof slab bottom   level </t>
  </si>
  <si>
    <t>E.5</t>
  </si>
  <si>
    <t>RCC for  Floor Roof slab casting  level</t>
  </si>
  <si>
    <t>E.6</t>
  </si>
  <si>
    <t>Brick Masonry work With plaster work</t>
  </si>
  <si>
    <t>E.7</t>
  </si>
  <si>
    <t xml:space="preserve">Completion of Flooring/Grade slab </t>
  </si>
  <si>
    <t>E.8</t>
  </si>
  <si>
    <t>Finished of work</t>
  </si>
  <si>
    <t>f</t>
  </si>
  <si>
    <t>CIVIL WORKS FOR SILOS &amp; CONVEYOR SYSTEM</t>
  </si>
  <si>
    <t>F1</t>
  </si>
  <si>
    <t>Char/Pillet Silo Foundation</t>
  </si>
  <si>
    <t>F1.1</t>
  </si>
  <si>
    <t>F1.2</t>
  </si>
  <si>
    <t>F1.3</t>
  </si>
  <si>
    <t>F1.4</t>
  </si>
  <si>
    <t>F2</t>
  </si>
  <si>
    <t>Inert Silo and Fe-Inert Silo  foundation</t>
  </si>
  <si>
    <t>F2.1</t>
  </si>
  <si>
    <t>F2.2</t>
  </si>
  <si>
    <t>RCC for Foundation</t>
  </si>
  <si>
    <t>F3</t>
  </si>
  <si>
    <t>Intergreted grade slab for conveyor system and Grade slab inside of shed area.</t>
  </si>
  <si>
    <t>F3.1</t>
  </si>
  <si>
    <t xml:space="preserve">RCC flooring </t>
  </si>
  <si>
    <t>F3.2</t>
  </si>
  <si>
    <t>IPS flooring</t>
  </si>
  <si>
    <t>g</t>
  </si>
  <si>
    <t>OTHER CIVIL/FOUNDATION WORKS ( LTP, ETP, FIRE WATER PUMP HOUSE, RAIN WATER HARVESTING AND HORTICULTURE ETC.)</t>
  </si>
  <si>
    <t>G1</t>
  </si>
  <si>
    <t>VFD CONTROL ROOM PLC BUILDING</t>
  </si>
  <si>
    <t>No.</t>
  </si>
  <si>
    <t>G.1.1</t>
  </si>
  <si>
    <t>G.1.2</t>
  </si>
  <si>
    <t>G.1.3</t>
  </si>
  <si>
    <t>G.1.4</t>
  </si>
  <si>
    <t>G.1.5</t>
  </si>
  <si>
    <t>G.1.6</t>
  </si>
  <si>
    <t>G.1.7</t>
  </si>
  <si>
    <t>G.1.8</t>
  </si>
  <si>
    <t>G2</t>
  </si>
  <si>
    <t>LEACHATE &amp; EFFLUENT TREATMENT PLANT CIVIL WORK</t>
  </si>
  <si>
    <t>G3</t>
  </si>
  <si>
    <t>WATER HARVESTING &amp; GREEN AREA</t>
  </si>
  <si>
    <t>G4</t>
  </si>
  <si>
    <t>FIRE WATER PUMP HOUSE</t>
  </si>
  <si>
    <t>G5</t>
  </si>
  <si>
    <t>WEIGH BRIDGE AREA CIVIL WORK</t>
  </si>
  <si>
    <t>G6</t>
  </si>
  <si>
    <t>DG ARAE CIVIL WORK</t>
  </si>
  <si>
    <t>G7</t>
  </si>
  <si>
    <t>TRANSFORMER ARAE CIVIL WORK</t>
  </si>
  <si>
    <t>G8</t>
  </si>
  <si>
    <t>MISCELLANEOUS WORKS-NOT COVERED IN ABOVE WORKS</t>
  </si>
  <si>
    <t>Site fabrication works for existing shed Strengthening</t>
  </si>
  <si>
    <t>Lot 1 Supply</t>
  </si>
  <si>
    <t>MT</t>
  </si>
  <si>
    <t>Lot2 Fabrication</t>
  </si>
  <si>
    <t>Lot 3 Erection</t>
  </si>
  <si>
    <t>Lot 4 Final Alignment</t>
  </si>
  <si>
    <t>Lot 5 Operational Acceptance</t>
  </si>
  <si>
    <t>Site fabrication works Pre-processing system</t>
  </si>
  <si>
    <t>Site fabrication works Reactor and 
auxiliary system</t>
  </si>
  <si>
    <t>Site fabrication works for miscellaneous</t>
  </si>
  <si>
    <t>O&amp;M PERSONAL TRAINING</t>
  </si>
  <si>
    <t>Man-Month</t>
  </si>
  <si>
    <t>ENGINEERING PERSONAL</t>
  </si>
  <si>
    <t>Payments Status Bhopal Project: EPC Package</t>
  </si>
  <si>
    <t>EPC Package_SC AS per PO No. 5500045006-109-2C02 dated 16.12.2024</t>
  </si>
  <si>
    <t>GSB &amp; WMM (CH 00.00 to CH 221.00)</t>
  </si>
  <si>
    <t>DLC (CH 00.00 to CH 221.00)</t>
  </si>
  <si>
    <t>PQC (CH 00.00 to CH 221.00)</t>
  </si>
  <si>
    <t>Shoulder (CH 00.00 to CH 221.00)</t>
  </si>
  <si>
    <t>GSB &amp; WMM (CH 221.00 to CH 442.00)</t>
  </si>
  <si>
    <t>DLC (CH 221.00 to CH 442.00)</t>
  </si>
  <si>
    <t>PQC (CH 221.00 to CH 442.00)</t>
  </si>
  <si>
    <t>Shoulder (CH 221.00 to CH 442.00)</t>
  </si>
  <si>
    <t>GSB &amp; WMM (CH 442.00 to CH 663.00)</t>
  </si>
  <si>
    <t>DLC (CH 442.00 to CH 663.00)</t>
  </si>
  <si>
    <t>PQC (CH 442.00 to CH 663.00)</t>
  </si>
  <si>
    <t>Shoulder (CH 442.00 to CH 663.00)</t>
  </si>
  <si>
    <t>GSB &amp; WMM (CH 663.00 to CH 886.00)</t>
  </si>
  <si>
    <t>DLC (CH 663.00 to CH 886.00)</t>
  </si>
  <si>
    <t>PQC (CH 663.00 to CH 886.00)</t>
  </si>
  <si>
    <t>Shoulder (CH 663.00 to CH 886.00)</t>
  </si>
  <si>
    <t>GSB &amp; WMM, Connecting roads to shed (~ 205m)</t>
  </si>
  <si>
    <t>DLC, Connecting roads to shed (~ 205m)</t>
  </si>
  <si>
    <t>PQC, Connecting roads to shed (~ 205m)</t>
  </si>
  <si>
    <t>Shoulder Connecting roads to shed (~ 205m)</t>
  </si>
  <si>
    <t>GSB &amp; WMM, Peripheral road (~ 264m)</t>
  </si>
  <si>
    <t>DLC, Peripheral road (~ 264m)</t>
  </si>
  <si>
    <t>PQC, Peripheral road (~ 264m)</t>
  </si>
  <si>
    <t>Shoulder, Peripheral road (~ 264m)</t>
  </si>
  <si>
    <t>Complete up to walls (CH 00.00 to CH 221.00)</t>
  </si>
  <si>
    <t>Complete up to walls (CH 221.00 to CH 442.00)</t>
  </si>
  <si>
    <t>Complete up to walls (CH 442.00 to CH 663.00)</t>
  </si>
  <si>
    <t>Complete up to walls (CH 663.00 to CH 886.00)</t>
  </si>
  <si>
    <t>Foundation of Air vent 1&amp; 2</t>
  </si>
  <si>
    <t>Foundation of  MSW Hopper (3 Sets)</t>
  </si>
  <si>
    <t>Foundation of Drum Dryer (3 Sets)</t>
  </si>
  <si>
    <t>Foundation of  MSW Conveyor (3 Sets)</t>
  </si>
  <si>
    <t>Foundation of Ballistic Separator (3 Sets)</t>
  </si>
  <si>
    <t>Foundation of Shredder Conveyor (3 Sets)</t>
  </si>
  <si>
    <t>Foundation of Shredder (3 Sets)</t>
  </si>
  <si>
    <t>Foundation of RDF Conveyor (3 Sets)</t>
  </si>
  <si>
    <t>Foundation of RDF Hopper (3 Sets)</t>
  </si>
  <si>
    <t>Foundation of Reactor (3 Sets)</t>
  </si>
  <si>
    <t>Payments Status Varanasi Project: EPC Package</t>
  </si>
  <si>
    <t>EPC Package_SC AS per PO No. 5500039567-109-2020 dated 22.12.2021</t>
  </si>
  <si>
    <t>SET</t>
  </si>
  <si>
    <t xml:space="preserve">Back Filling </t>
  </si>
  <si>
    <t>A.1.1</t>
  </si>
  <si>
    <t xml:space="preserve">Backfilling with Compaction </t>
  </si>
  <si>
    <t xml:space="preserve">Boundary Wall </t>
  </si>
  <si>
    <t>B.1</t>
  </si>
  <si>
    <t>PCC Work</t>
  </si>
  <si>
    <t>B.1.1</t>
  </si>
  <si>
    <t>PCC for foundations</t>
  </si>
  <si>
    <t>B.2</t>
  </si>
  <si>
    <t>RCC (Including Reinforcement &amp; Form Work)</t>
  </si>
  <si>
    <t>B.2.1</t>
  </si>
  <si>
    <t>Raft for Boundary wall</t>
  </si>
  <si>
    <t>B.2.2</t>
  </si>
  <si>
    <t>Column above Raft to PB-1 bottom of Boundary wall</t>
  </si>
  <si>
    <t>B.2.3</t>
  </si>
  <si>
    <t>Plinth Beam of Boundary wall</t>
  </si>
  <si>
    <t>R.Mtr</t>
  </si>
  <si>
    <t>B.2.4</t>
  </si>
  <si>
    <t xml:space="preserve">Column above Plinth Beam up to top of Coping </t>
  </si>
  <si>
    <t>B.2.5</t>
  </si>
  <si>
    <t>Coping RCC Over Wall</t>
  </si>
  <si>
    <t>B.3</t>
  </si>
  <si>
    <t>Masonary Work</t>
  </si>
  <si>
    <t>B.3.1</t>
  </si>
  <si>
    <t>Brick Masonary</t>
  </si>
  <si>
    <t>B.4</t>
  </si>
  <si>
    <t>Plaster</t>
  </si>
  <si>
    <t>B.4.1</t>
  </si>
  <si>
    <t>Wall Plastering-Both Sides</t>
  </si>
  <si>
    <t>B.5</t>
  </si>
  <si>
    <t>Painting (Inner &amp; Outer)</t>
  </si>
  <si>
    <t>B.5.1</t>
  </si>
  <si>
    <t>Painting inside walls</t>
  </si>
  <si>
    <t>B.5.2</t>
  </si>
  <si>
    <t>Painting out side of walls</t>
  </si>
  <si>
    <t>B.6</t>
  </si>
  <si>
    <t>Fencing Work</t>
  </si>
  <si>
    <t>B.6.1</t>
  </si>
  <si>
    <t>Fencing</t>
  </si>
  <si>
    <t>PILLING</t>
  </si>
  <si>
    <t>Civil Construction</t>
  </si>
  <si>
    <t xml:space="preserve">Installation of RCC 600 mm dia Cast-in-situ bored pile including reinforcement &amp; concrete </t>
  </si>
  <si>
    <t>Vertical  load test on single pile</t>
  </si>
  <si>
    <t>Tension load test on single pile</t>
  </si>
  <si>
    <t>C.1.4</t>
  </si>
  <si>
    <t>Horizontal load test on single pile</t>
  </si>
  <si>
    <t>C.1.5</t>
  </si>
  <si>
    <t xml:space="preserve">Routine test on single pile </t>
  </si>
  <si>
    <t>CMS Building</t>
  </si>
  <si>
    <t>D.1</t>
  </si>
  <si>
    <t>PCC Works</t>
  </si>
  <si>
    <t>D.1.1</t>
  </si>
  <si>
    <t>PCC for Pile Caps</t>
  </si>
  <si>
    <t>D.1.2</t>
  </si>
  <si>
    <t>PCC for Grade Slab</t>
  </si>
  <si>
    <t>D.2</t>
  </si>
  <si>
    <t>RCC Works</t>
  </si>
  <si>
    <t>D.2.1</t>
  </si>
  <si>
    <t>RCC for Pile Caps</t>
  </si>
  <si>
    <t>D.2.2</t>
  </si>
  <si>
    <t>RCC Column from Raft top to Plinth beam bottom</t>
  </si>
  <si>
    <t>D.2.3</t>
  </si>
  <si>
    <t>D.2.4</t>
  </si>
  <si>
    <t>Columns up to 1st roof slab 5.2 mt  level(bottom) including lintel beam</t>
  </si>
  <si>
    <t>D.2.5</t>
  </si>
  <si>
    <t>RCC for 1st Floor Roof slab casting @ 5.35 mt level</t>
  </si>
  <si>
    <t>D.2.6</t>
  </si>
  <si>
    <t>RCC Columns from 9.85 mt lvl to 2nd roof slab bottom icluding tie beam</t>
  </si>
  <si>
    <t>D.2.7</t>
  </si>
  <si>
    <t xml:space="preserve">RCC for 2nd roof slab casting @ 10.60 mt </t>
  </si>
  <si>
    <t>D.2.8</t>
  </si>
  <si>
    <t>Brick Masonry work</t>
  </si>
  <si>
    <t>D.2.9</t>
  </si>
  <si>
    <t>Plaster out-side walls</t>
  </si>
  <si>
    <t>D.2.10</t>
  </si>
  <si>
    <t>Plaster in-side walls</t>
  </si>
  <si>
    <t>D.2.11</t>
  </si>
  <si>
    <t>Floor tiles ground floor</t>
  </si>
  <si>
    <t>D.2.12</t>
  </si>
  <si>
    <t>Floor Tiles 1st floor</t>
  </si>
  <si>
    <t>D.2.13</t>
  </si>
  <si>
    <t xml:space="preserve">Battery room tiles </t>
  </si>
  <si>
    <t>D.2.14</t>
  </si>
  <si>
    <t>Water proofing of roofs</t>
  </si>
  <si>
    <t>D.2.15</t>
  </si>
  <si>
    <t>Out side bldg Drains and plinth protection</t>
  </si>
  <si>
    <t>D.2.16</t>
  </si>
  <si>
    <t xml:space="preserve">Painting of building outside </t>
  </si>
  <si>
    <t>D.2.17</t>
  </si>
  <si>
    <t>Painting of Building inside</t>
  </si>
  <si>
    <t>D.2.18</t>
  </si>
  <si>
    <t>Sanitary Work &amp; Plumbing Work</t>
  </si>
  <si>
    <t>D.2.19</t>
  </si>
  <si>
    <t>Toilets floor tiles,and dado</t>
  </si>
  <si>
    <t>PLANT SHED AREA</t>
  </si>
  <si>
    <t>E.1.1</t>
  </si>
  <si>
    <t>E.1.2</t>
  </si>
  <si>
    <t>E.2.1</t>
  </si>
  <si>
    <t>E.2.2</t>
  </si>
  <si>
    <t>RCC Column from Pile cap to Bolt Bottom</t>
  </si>
  <si>
    <t>E.2.3</t>
  </si>
  <si>
    <t>RCC Column from Bolt Bottom to TOC incl.foundation bolts</t>
  </si>
  <si>
    <t>E.2.4</t>
  </si>
  <si>
    <t>RCC flooring inside shed area</t>
  </si>
  <si>
    <t>E.2.5</t>
  </si>
  <si>
    <t>E.2.6</t>
  </si>
  <si>
    <t>Grouting</t>
  </si>
  <si>
    <t>F.1</t>
  </si>
  <si>
    <t>F.1.1</t>
  </si>
  <si>
    <t>PCC for Foundation</t>
  </si>
  <si>
    <t>F.2</t>
  </si>
  <si>
    <t>F.2.1</t>
  </si>
  <si>
    <t>F.2.2</t>
  </si>
  <si>
    <t>F.2.3</t>
  </si>
  <si>
    <t>F.2.5</t>
  </si>
  <si>
    <t>F.2.6</t>
  </si>
  <si>
    <t>PELLET SILO AREA CIVIL WORK</t>
  </si>
  <si>
    <t>G.1</t>
  </si>
  <si>
    <t>G.2</t>
  </si>
  <si>
    <t>G.2.1</t>
  </si>
  <si>
    <t>RCC for Foundation(Raft) including Tie Beam</t>
  </si>
  <si>
    <t>G.2.2</t>
  </si>
  <si>
    <t>RCC Column above Raft to Plinth Beam Bottom</t>
  </si>
  <si>
    <t>G.2.3</t>
  </si>
  <si>
    <t>RCC Plinth Beam</t>
  </si>
  <si>
    <t>G.2.4</t>
  </si>
  <si>
    <t>RCC Column Above Plinth Beam to TOC incl.Bolts</t>
  </si>
  <si>
    <t>G.2.5</t>
  </si>
  <si>
    <t>INERT SILO AREA CIVIL WORK</t>
  </si>
  <si>
    <t>H.1</t>
  </si>
  <si>
    <t>H.1.1</t>
  </si>
  <si>
    <t>H.2</t>
  </si>
  <si>
    <t>H.2.1</t>
  </si>
  <si>
    <t>RCC for Foundation-Raft</t>
  </si>
  <si>
    <t>H.2.2</t>
  </si>
  <si>
    <t>H.2.3</t>
  </si>
  <si>
    <t>H.2.4</t>
  </si>
  <si>
    <t>RCC Column Above Plinth Beam with Bolts</t>
  </si>
  <si>
    <t>H.2.5</t>
  </si>
  <si>
    <t>EQUIPMENT FOUNDATION CIVIL WORK</t>
  </si>
  <si>
    <t>I.1</t>
  </si>
  <si>
    <t>I.1.1</t>
  </si>
  <si>
    <t>I.2</t>
  </si>
  <si>
    <t>I.2.1</t>
  </si>
  <si>
    <t>RCC for Foundation-Raft including Tie beam if any</t>
  </si>
  <si>
    <t>I.2.2</t>
  </si>
  <si>
    <t>RCC Column/Pedestal above Raft to Plinth Beam Bottom,if any</t>
  </si>
  <si>
    <t>I.2.3</t>
  </si>
  <si>
    <t>RCC Plinth Beam, if any</t>
  </si>
  <si>
    <t>I.2.4</t>
  </si>
  <si>
    <t>I.2.5</t>
  </si>
  <si>
    <t>J.1</t>
  </si>
  <si>
    <t>J.1.1</t>
  </si>
  <si>
    <t>J.1.2</t>
  </si>
  <si>
    <t>J.2</t>
  </si>
  <si>
    <t>J.2.1</t>
  </si>
  <si>
    <t>J.2.2</t>
  </si>
  <si>
    <t>RCC Column/Pedestal including bolts</t>
  </si>
  <si>
    <t>J.2.3</t>
  </si>
  <si>
    <t>RCC Grade Slab</t>
  </si>
  <si>
    <t>J.2.4</t>
  </si>
  <si>
    <t>ROADS &amp; DRAIN</t>
  </si>
  <si>
    <t>K.1</t>
  </si>
  <si>
    <t>WMM Laying for Roads</t>
  </si>
  <si>
    <t>K.1.1</t>
  </si>
  <si>
    <t>WMM-1st layer of thickness 200 mm</t>
  </si>
  <si>
    <t>K.1.2</t>
  </si>
  <si>
    <t>WMM-2nd layer of thickness 125 mm</t>
  </si>
  <si>
    <t>K.2</t>
  </si>
  <si>
    <t>K.2.1</t>
  </si>
  <si>
    <t>PCC for Roads</t>
  </si>
  <si>
    <t>K.2.2</t>
  </si>
  <si>
    <t>PCC for Drains</t>
  </si>
  <si>
    <t>K.3</t>
  </si>
  <si>
    <t>RCC Works for Roads</t>
  </si>
  <si>
    <t>K.4</t>
  </si>
  <si>
    <t>Brick Masonry for Drains</t>
  </si>
  <si>
    <t>L</t>
  </si>
  <si>
    <t>L.1</t>
  </si>
  <si>
    <t>300 mm dia Boring</t>
  </si>
  <si>
    <t>L.2</t>
  </si>
  <si>
    <t xml:space="preserve">PCC Works for filter media &amp; Harvesting Sump </t>
  </si>
  <si>
    <t>L.3</t>
  </si>
  <si>
    <t xml:space="preserve">RCC WORKS  </t>
  </si>
  <si>
    <t>L.3.1</t>
  </si>
  <si>
    <t xml:space="preserve">RCC Works for filter media &amp; Harvesting Sump </t>
  </si>
  <si>
    <t>L.4</t>
  </si>
  <si>
    <t>HORTICULTURE</t>
  </si>
  <si>
    <t>L.4.1</t>
  </si>
  <si>
    <t>Water Bodies</t>
  </si>
  <si>
    <t>L.4.2</t>
  </si>
  <si>
    <t>Haze</t>
  </si>
  <si>
    <t>L.4.3</t>
  </si>
  <si>
    <t>Trees</t>
  </si>
  <si>
    <t>M</t>
  </si>
  <si>
    <t>TOPOGRAPHY SURVEY</t>
  </si>
  <si>
    <t>N</t>
  </si>
  <si>
    <t>GEO TECHNICAL INVESTIGATION</t>
  </si>
  <si>
    <t>O</t>
  </si>
  <si>
    <t>O.1</t>
  </si>
  <si>
    <t>LECHATE SUMP</t>
  </si>
  <si>
    <t>O.1.1</t>
  </si>
  <si>
    <t>PCC Works for foundations</t>
  </si>
  <si>
    <t>O.2</t>
  </si>
  <si>
    <t>RCC Works for foundations</t>
  </si>
  <si>
    <t>O.2.1</t>
  </si>
  <si>
    <t>RCC for Raft</t>
  </si>
  <si>
    <t>O.2.2</t>
  </si>
  <si>
    <t>O.2.3</t>
  </si>
  <si>
    <t>O.2.4</t>
  </si>
  <si>
    <t>RCC for Raft-2nd Stage</t>
  </si>
  <si>
    <t>O.2.5</t>
  </si>
  <si>
    <t>O.2.6</t>
  </si>
  <si>
    <t>O.2.7</t>
  </si>
  <si>
    <t>O.2.8</t>
  </si>
  <si>
    <t>RCC Wall - 4th Lift</t>
  </si>
  <si>
    <t>EFLUENT TREATMENT PLANT</t>
  </si>
  <si>
    <t>PCC Works for LTP TANKS &amp; PLATFORM foundations</t>
  </si>
  <si>
    <t>PCC Works for ETP foundations</t>
  </si>
  <si>
    <t>RCC Works for LTP TANKS &amp; PLATFORM foundations</t>
  </si>
  <si>
    <t>RCC Works for ETP foundations</t>
  </si>
  <si>
    <t>P</t>
  </si>
  <si>
    <t>LOT</t>
  </si>
  <si>
    <t>P.1</t>
  </si>
  <si>
    <t>P.1.1</t>
  </si>
  <si>
    <t>PCC Works for MSW foundations</t>
  </si>
  <si>
    <t>P.1.2</t>
  </si>
  <si>
    <t>PCC Works for Inert Conveyor foundations</t>
  </si>
  <si>
    <t>P.1.3</t>
  </si>
  <si>
    <t>PCC Works for Security Gate foundations</t>
  </si>
  <si>
    <t>P.1.4</t>
  </si>
  <si>
    <t>PCC Works for Worker Toilet Room</t>
  </si>
  <si>
    <t>P.1.5</t>
  </si>
  <si>
    <t>PCC Works for Rest Room</t>
  </si>
  <si>
    <t>P.1.6</t>
  </si>
  <si>
    <t>PCC Works for Fire Tanks</t>
  </si>
  <si>
    <t>P.1.7</t>
  </si>
  <si>
    <t>PCC Works for Fire Pump Foundations</t>
  </si>
  <si>
    <t>P.1.8</t>
  </si>
  <si>
    <t>PCC Works for Equipment Room Foundations</t>
  </si>
  <si>
    <t>P.1.9</t>
  </si>
  <si>
    <t>PCC Works for Fire Pipe Pedestal Foundations</t>
  </si>
  <si>
    <t>P.1.10</t>
  </si>
  <si>
    <t>PCC Works for Transformer Foundations</t>
  </si>
  <si>
    <t>P.1.11</t>
  </si>
  <si>
    <t>PCC Works for Septic &amp; Soak Pit Foundations</t>
  </si>
  <si>
    <t>P.2</t>
  </si>
  <si>
    <t>P.2.1</t>
  </si>
  <si>
    <t>P.2.2</t>
  </si>
  <si>
    <t>P.2.3</t>
  </si>
  <si>
    <t>P.2.4</t>
  </si>
  <si>
    <t>P.2.5</t>
  </si>
  <si>
    <t>P.2.6</t>
  </si>
  <si>
    <t>P.2.7</t>
  </si>
  <si>
    <t>P.2.8</t>
  </si>
  <si>
    <t>P.2.9</t>
  </si>
  <si>
    <t>P.2.10</t>
  </si>
  <si>
    <t>P.2.11</t>
  </si>
  <si>
    <t>Q</t>
  </si>
  <si>
    <t>SIDE SLOPE PROTECTION</t>
  </si>
  <si>
    <t>Q.1</t>
  </si>
  <si>
    <t>Q.1.1</t>
  </si>
  <si>
    <t>PCC for Verical bands</t>
  </si>
  <si>
    <t>Q.1.2</t>
  </si>
  <si>
    <t>PCC for Horizontal bands(op &amp; Bottom)</t>
  </si>
  <si>
    <t>Q.2</t>
  </si>
  <si>
    <t>Stone Masonry 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</si>
</sst>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&quot;₹&quot;\ #,##0.00"/>
    <numFmt numFmtId="165" formatCode="_(* #,##0_);_(* \(#,##0\);_(* &quot;-&quot;??_);_(@_)"/>
    <numFmt numFmtId="166" formatCode="&quot;₹&quot;\ #,##0"/>
    <numFmt numFmtId="167" formatCode="0.0"/>
    <numFmt numFmtId="168" formatCode="0.0%"/>
    <numFmt numFmtId="169" formatCode="0.000%"/>
    <numFmt numFmtId="170" formatCode="&quot;₹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Calibri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rgb="FF000000"/>
      <name val="Calibri"/>
      <family val="2"/>
    </font>
    <font>
      <sz val="14"/>
      <name val="Arial"/>
      <family val="2"/>
    </font>
    <font>
      <sz val="14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1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9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 wrapText="1"/>
    </xf>
    <xf numFmtId="164" fontId="0" fillId="2" borderId="8" xfId="0" applyNumberForma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6" fillId="2" borderId="8" xfId="3" applyFont="1" applyFill="1" applyBorder="1" applyAlignment="1" applyProtection="1">
      <alignment horizontal="center" vertical="center" wrapText="1"/>
      <protection locked="0"/>
    </xf>
    <xf numFmtId="1" fontId="6" fillId="2" borderId="8" xfId="0" applyNumberFormat="1" applyFont="1" applyFill="1" applyBorder="1" applyAlignment="1">
      <alignment horizontal="center" vertical="center"/>
    </xf>
    <xf numFmtId="165" fontId="6" fillId="2" borderId="8" xfId="1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166" fontId="9" fillId="0" borderId="8" xfId="0" applyNumberFormat="1" applyFont="1" applyBorder="1" applyAlignment="1">
      <alignment horizontal="center" vertical="center" wrapText="1"/>
    </xf>
    <xf numFmtId="167" fontId="10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167" fontId="10" fillId="0" borderId="1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164" fontId="0" fillId="0" borderId="8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 wrapText="1"/>
    </xf>
    <xf numFmtId="164" fontId="11" fillId="2" borderId="8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center" wrapText="1"/>
    </xf>
    <xf numFmtId="167" fontId="14" fillId="0" borderId="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168" fontId="14" fillId="0" borderId="8" xfId="0" applyNumberFormat="1" applyFont="1" applyBorder="1" applyAlignment="1">
      <alignment horizontal="center" vertical="center"/>
    </xf>
    <xf numFmtId="166" fontId="15" fillId="0" borderId="8" xfId="1" applyNumberFormat="1" applyFont="1" applyFill="1" applyBorder="1" applyAlignment="1">
      <alignment horizontal="center" vertical="center" shrinkToFit="1"/>
    </xf>
    <xf numFmtId="1" fontId="6" fillId="0" borderId="8" xfId="0" applyNumberFormat="1" applyFont="1" applyBorder="1" applyAlignment="1">
      <alignment horizontal="center" vertical="center"/>
    </xf>
    <xf numFmtId="167" fontId="12" fillId="0" borderId="18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168" fontId="14" fillId="0" borderId="17" xfId="0" applyNumberFormat="1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left" vertical="center" wrapText="1"/>
    </xf>
    <xf numFmtId="0" fontId="6" fillId="0" borderId="8" xfId="3" applyFont="1" applyBorder="1" applyAlignment="1" applyProtection="1">
      <alignment horizontal="center" vertical="center" wrapText="1"/>
      <protection locked="0"/>
    </xf>
    <xf numFmtId="0" fontId="14" fillId="0" borderId="0" xfId="0" applyFont="1"/>
    <xf numFmtId="43" fontId="14" fillId="3" borderId="8" xfId="1" applyFont="1" applyFill="1" applyBorder="1" applyAlignment="1">
      <alignment horizontal="right" vertical="center" wrapText="1"/>
    </xf>
    <xf numFmtId="43" fontId="12" fillId="3" borderId="19" xfId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169" fontId="2" fillId="0" borderId="8" xfId="2" applyNumberFormat="1" applyFont="1" applyBorder="1" applyAlignment="1">
      <alignment horizontal="center" vertical="center" wrapText="1"/>
    </xf>
    <xf numFmtId="165" fontId="6" fillId="0" borderId="8" xfId="1" applyNumberFormat="1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1" fontId="17" fillId="0" borderId="8" xfId="0" applyNumberFormat="1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166" fontId="18" fillId="0" borderId="8" xfId="1" applyNumberFormat="1" applyFont="1" applyFill="1" applyBorder="1" applyAlignment="1">
      <alignment horizontal="center" vertical="center" shrinkToFit="1"/>
    </xf>
    <xf numFmtId="1" fontId="18" fillId="0" borderId="8" xfId="0" applyNumberFormat="1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left" vertical="center" wrapText="1"/>
    </xf>
    <xf numFmtId="2" fontId="0" fillId="0" borderId="8" xfId="2" applyNumberFormat="1" applyFont="1" applyBorder="1" applyAlignment="1">
      <alignment horizontal="center" vertical="center" wrapText="1"/>
    </xf>
    <xf numFmtId="164" fontId="0" fillId="4" borderId="8" xfId="0" applyNumberFormat="1" applyFill="1" applyBorder="1" applyAlignment="1">
      <alignment horizontal="center" vertical="center" wrapText="1"/>
    </xf>
    <xf numFmtId="9" fontId="0" fillId="0" borderId="8" xfId="2" applyFont="1" applyFill="1" applyBorder="1" applyAlignment="1">
      <alignment horizontal="center" vertical="center" wrapText="1"/>
    </xf>
    <xf numFmtId="9" fontId="2" fillId="0" borderId="8" xfId="2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166" fontId="17" fillId="0" borderId="8" xfId="0" applyNumberFormat="1" applyFont="1" applyBorder="1" applyAlignment="1">
      <alignment horizontal="center" vertical="center" shrinkToFit="1"/>
    </xf>
    <xf numFmtId="166" fontId="17" fillId="0" borderId="8" xfId="0" applyNumberFormat="1" applyFont="1" applyBorder="1" applyAlignment="1">
      <alignment horizontal="center" vertical="center" wrapText="1"/>
    </xf>
    <xf numFmtId="2" fontId="0" fillId="0" borderId="8" xfId="2" applyNumberFormat="1" applyFont="1" applyFill="1" applyBorder="1" applyAlignment="1">
      <alignment horizontal="center" vertical="center" wrapText="1"/>
    </xf>
    <xf numFmtId="2" fontId="2" fillId="0" borderId="8" xfId="2" applyNumberFormat="1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/>
    </xf>
    <xf numFmtId="0" fontId="20" fillId="0" borderId="8" xfId="3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170" fontId="2" fillId="0" borderId="8" xfId="0" applyNumberFormat="1" applyFont="1" applyBorder="1" applyAlignment="1">
      <alignment horizontal="center" vertical="center" wrapText="1"/>
    </xf>
    <xf numFmtId="168" fontId="10" fillId="0" borderId="8" xfId="0" applyNumberFormat="1" applyFont="1" applyBorder="1" applyAlignment="1">
      <alignment horizontal="center" vertical="center"/>
    </xf>
    <xf numFmtId="0" fontId="22" fillId="4" borderId="8" xfId="3" applyFont="1" applyFill="1" applyBorder="1" applyAlignment="1">
      <alignment horizontal="center" vertical="center"/>
    </xf>
    <xf numFmtId="43" fontId="22" fillId="4" borderId="8" xfId="1" applyFont="1" applyFill="1" applyBorder="1" applyAlignment="1">
      <alignment vertical="center"/>
    </xf>
    <xf numFmtId="43" fontId="22" fillId="4" borderId="8" xfId="1" applyFont="1" applyFill="1" applyBorder="1" applyAlignment="1">
      <alignment horizontal="right" vertical="center"/>
    </xf>
    <xf numFmtId="167" fontId="2" fillId="0" borderId="8" xfId="0" applyNumberFormat="1" applyFon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43" fontId="2" fillId="0" borderId="8" xfId="0" applyNumberFormat="1" applyFon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67" fontId="7" fillId="0" borderId="8" xfId="0" applyNumberFormat="1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 2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6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9" sqref="F9"/>
    </sheetView>
  </sheetViews>
  <sheetFormatPr defaultColWidth="9.140625" defaultRowHeight="15" x14ac:dyDescent="0.25"/>
  <cols>
    <col min="1" max="1" width="7.42578125" style="3" customWidth="1"/>
    <col min="2" max="2" width="27" style="48" customWidth="1"/>
    <col min="3" max="3" width="7.85546875" style="3" customWidth="1"/>
    <col min="4" max="4" width="17.28515625" style="3" customWidth="1"/>
    <col min="5" max="5" width="17.42578125" style="3" customWidth="1"/>
    <col min="6" max="8" width="20.140625" style="3" customWidth="1"/>
    <col min="9" max="10" width="13.28515625" style="3" customWidth="1"/>
    <col min="11" max="11" width="20.140625" style="3" customWidth="1"/>
    <col min="12" max="13" width="17.42578125" style="3" customWidth="1"/>
    <col min="14" max="14" width="18" style="3" customWidth="1"/>
    <col min="15" max="15" width="23.42578125" style="3" customWidth="1"/>
    <col min="16" max="16" width="27.140625" style="3" customWidth="1"/>
    <col min="17" max="17" width="9.140625" style="3"/>
    <col min="18" max="18" width="16" style="3" bestFit="1" customWidth="1"/>
    <col min="19" max="16384" width="9.140625" style="3"/>
  </cols>
  <sheetData>
    <row r="1" spans="1:18" ht="29.25" customHeight="1" thickBot="1" x14ac:dyDescent="0.3">
      <c r="A1" s="1" t="s">
        <v>467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ht="29.25" customHeight="1" x14ac:dyDescent="0.25">
      <c r="A2" s="4" t="s">
        <v>1</v>
      </c>
      <c r="B2" s="5" t="s">
        <v>2</v>
      </c>
      <c r="C2" s="5" t="s">
        <v>3</v>
      </c>
      <c r="D2" s="5"/>
      <c r="E2" s="5"/>
      <c r="F2" s="5"/>
      <c r="G2" s="5"/>
      <c r="H2" s="5"/>
      <c r="I2" s="5"/>
      <c r="J2" s="5"/>
      <c r="K2" s="5"/>
      <c r="L2" s="5"/>
      <c r="M2" s="6"/>
      <c r="N2" s="7" t="s">
        <v>4</v>
      </c>
      <c r="O2" s="8"/>
      <c r="P2" s="9" t="s">
        <v>5</v>
      </c>
    </row>
    <row r="3" spans="1:18" ht="65.25" customHeight="1" x14ac:dyDescent="0.25">
      <c r="A3" s="10"/>
      <c r="B3" s="11"/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1" t="s">
        <v>14</v>
      </c>
      <c r="L3" s="11" t="s">
        <v>15</v>
      </c>
      <c r="M3" s="12" t="s">
        <v>16</v>
      </c>
      <c r="N3" s="13"/>
      <c r="O3" s="11" t="s">
        <v>17</v>
      </c>
      <c r="P3" s="14"/>
    </row>
    <row r="4" spans="1:18" ht="37.5" customHeight="1" thickBot="1" x14ac:dyDescent="0.3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7">
        <v>0.1</v>
      </c>
      <c r="N4" s="18"/>
      <c r="O4" s="16"/>
      <c r="P4" s="19"/>
    </row>
    <row r="5" spans="1:18" ht="37.5" customHeight="1" x14ac:dyDescent="0.25">
      <c r="A5" s="20" t="s">
        <v>18</v>
      </c>
      <c r="B5" s="21" t="s">
        <v>468</v>
      </c>
      <c r="C5" s="21"/>
      <c r="D5" s="21"/>
      <c r="E5" s="21"/>
      <c r="F5" s="22">
        <f>SUM(F6:F184)-F6</f>
        <v>298900000</v>
      </c>
      <c r="G5" s="22">
        <f>SUM(G6:G184)-G6</f>
        <v>53802000</v>
      </c>
      <c r="H5" s="22">
        <f>SUM(H6:H184)-H6</f>
        <v>352702000</v>
      </c>
      <c r="I5" s="12"/>
      <c r="J5" s="20"/>
      <c r="K5" s="22">
        <f>SUM(K6:K184)-K6</f>
        <v>298900000</v>
      </c>
      <c r="L5" s="22">
        <f>SUM(L6:L184)-L6</f>
        <v>53802000</v>
      </c>
      <c r="M5" s="22">
        <f>SUM(M6:M184)-M6</f>
        <v>29890000</v>
      </c>
      <c r="N5" s="22">
        <f>SUM(N6:N184)-N6</f>
        <v>322812000</v>
      </c>
      <c r="O5" s="22">
        <f>SUM(O6:O184)-O6</f>
        <v>0</v>
      </c>
      <c r="P5" s="12"/>
      <c r="R5" s="23">
        <f>O5*1.18</f>
        <v>0</v>
      </c>
    </row>
    <row r="6" spans="1:18" ht="37.5" customHeight="1" x14ac:dyDescent="0.25">
      <c r="A6" s="12">
        <v>4</v>
      </c>
      <c r="B6" s="33" t="s">
        <v>28</v>
      </c>
      <c r="C6" s="34" t="s">
        <v>26</v>
      </c>
      <c r="D6" s="34">
        <v>1</v>
      </c>
      <c r="E6" s="35">
        <v>298900000</v>
      </c>
      <c r="F6" s="35">
        <f>D6*E6</f>
        <v>298900000</v>
      </c>
      <c r="G6" s="35">
        <f>F6*18%</f>
        <v>53802000</v>
      </c>
      <c r="H6" s="36">
        <f>F6+G6</f>
        <v>352702000</v>
      </c>
      <c r="I6" s="12"/>
      <c r="J6" s="12">
        <f t="shared" ref="J6:J60" si="0">D6-I6</f>
        <v>1</v>
      </c>
      <c r="K6" s="35">
        <f>SUM(K8:K181)</f>
        <v>298900000</v>
      </c>
      <c r="L6" s="35">
        <f>K6*18%</f>
        <v>53802000</v>
      </c>
      <c r="M6" s="35">
        <f>K6*10%</f>
        <v>29890000</v>
      </c>
      <c r="N6" s="36">
        <f>SUM(K6:L6)-M6</f>
        <v>322812000</v>
      </c>
      <c r="O6" s="36">
        <f>SUM(O7:O180)</f>
        <v>0</v>
      </c>
      <c r="P6" s="12"/>
      <c r="R6" s="23"/>
    </row>
    <row r="7" spans="1:18" ht="37.5" customHeight="1" x14ac:dyDescent="0.25">
      <c r="A7" s="12" t="s">
        <v>29</v>
      </c>
      <c r="B7" s="46" t="s">
        <v>470</v>
      </c>
      <c r="C7" s="34"/>
      <c r="D7" s="34"/>
      <c r="E7" s="35"/>
      <c r="F7" s="35"/>
      <c r="G7" s="35"/>
      <c r="H7" s="36"/>
      <c r="I7" s="12"/>
      <c r="J7" s="12">
        <f t="shared" si="0"/>
        <v>0</v>
      </c>
      <c r="K7" s="35"/>
      <c r="L7" s="35"/>
      <c r="M7" s="35"/>
      <c r="N7" s="36"/>
      <c r="O7" s="36">
        <f t="shared" ref="O7:O60" si="1">J7*E7</f>
        <v>0</v>
      </c>
      <c r="P7" s="12"/>
      <c r="R7" s="23"/>
    </row>
    <row r="8" spans="1:18" ht="37.5" customHeight="1" x14ac:dyDescent="0.25">
      <c r="A8" s="12" t="s">
        <v>471</v>
      </c>
      <c r="B8" s="44" t="s">
        <v>472</v>
      </c>
      <c r="C8" s="34" t="s">
        <v>212</v>
      </c>
      <c r="D8" s="34">
        <v>200000</v>
      </c>
      <c r="E8" s="35">
        <v>400</v>
      </c>
      <c r="F8" s="35">
        <f>D8*E8</f>
        <v>80000000</v>
      </c>
      <c r="G8" s="35">
        <f>F8*18%</f>
        <v>14400000</v>
      </c>
      <c r="H8" s="36">
        <f>F8+G8</f>
        <v>94400000</v>
      </c>
      <c r="I8" s="34">
        <f>49300+26500+23500+6600+2200+13300+10000+11000+13000+10600+12500+13500+6000+1500+500</f>
        <v>200000</v>
      </c>
      <c r="J8" s="12">
        <f t="shared" si="0"/>
        <v>0</v>
      </c>
      <c r="K8" s="35">
        <f>I8*E8</f>
        <v>80000000</v>
      </c>
      <c r="L8" s="35">
        <f>K8*18%</f>
        <v>14400000</v>
      </c>
      <c r="M8" s="35">
        <f>K8*10%</f>
        <v>8000000</v>
      </c>
      <c r="N8" s="36">
        <f>SUM(K8:L8)-M8</f>
        <v>86400000</v>
      </c>
      <c r="O8" s="36">
        <f t="shared" si="1"/>
        <v>0</v>
      </c>
      <c r="P8" s="12"/>
    </row>
    <row r="9" spans="1:18" ht="37.5" customHeight="1" x14ac:dyDescent="0.25">
      <c r="A9" s="12" t="s">
        <v>56</v>
      </c>
      <c r="B9" s="44" t="s">
        <v>473</v>
      </c>
      <c r="C9" s="34"/>
      <c r="D9" s="35"/>
      <c r="E9" s="35"/>
      <c r="F9" s="34"/>
      <c r="G9" s="35"/>
      <c r="H9" s="36"/>
      <c r="I9" s="12"/>
      <c r="J9" s="12">
        <f t="shared" si="0"/>
        <v>0</v>
      </c>
      <c r="K9" s="35"/>
      <c r="L9" s="35"/>
      <c r="M9" s="35"/>
      <c r="N9" s="36"/>
      <c r="O9" s="36">
        <f t="shared" si="1"/>
        <v>0</v>
      </c>
      <c r="P9" s="12"/>
    </row>
    <row r="10" spans="1:18" ht="37.5" customHeight="1" x14ac:dyDescent="0.25">
      <c r="A10" s="12" t="s">
        <v>474</v>
      </c>
      <c r="B10" s="46" t="s">
        <v>475</v>
      </c>
      <c r="C10" s="34"/>
      <c r="D10" s="35"/>
      <c r="E10" s="35"/>
      <c r="F10" s="34"/>
      <c r="G10" s="35"/>
      <c r="H10" s="36"/>
      <c r="I10" s="12"/>
      <c r="J10" s="12">
        <f t="shared" si="0"/>
        <v>0</v>
      </c>
      <c r="K10" s="35"/>
      <c r="L10" s="35"/>
      <c r="M10" s="35"/>
      <c r="N10" s="36"/>
      <c r="O10" s="36">
        <f t="shared" si="1"/>
        <v>0</v>
      </c>
      <c r="P10" s="12"/>
    </row>
    <row r="11" spans="1:18" ht="37.5" customHeight="1" x14ac:dyDescent="0.25">
      <c r="A11" s="12" t="s">
        <v>476</v>
      </c>
      <c r="B11" s="44" t="s">
        <v>477</v>
      </c>
      <c r="C11" s="34" t="s">
        <v>32</v>
      </c>
      <c r="D11" s="112">
        <v>100</v>
      </c>
      <c r="E11" s="35">
        <v>39000</v>
      </c>
      <c r="F11" s="35">
        <f>E11*D11</f>
        <v>3900000</v>
      </c>
      <c r="G11" s="35">
        <f>F11*18%</f>
        <v>702000</v>
      </c>
      <c r="H11" s="36">
        <f>F11+G11</f>
        <v>4602000</v>
      </c>
      <c r="I11" s="12">
        <f>17.6+7.4+6.6+16+2.4+9+1.6+12.8+1+20.4+5.2</f>
        <v>100.00000000000001</v>
      </c>
      <c r="J11" s="12">
        <f t="shared" si="0"/>
        <v>0</v>
      </c>
      <c r="K11" s="35">
        <f>I11*E11</f>
        <v>3900000.0000000005</v>
      </c>
      <c r="L11" s="35">
        <f>K11*18%</f>
        <v>702000</v>
      </c>
      <c r="M11" s="35">
        <f>K11*10%</f>
        <v>390000.00000000006</v>
      </c>
      <c r="N11" s="36">
        <f>SUM(K11:L11)-M11</f>
        <v>4212000</v>
      </c>
      <c r="O11" s="36">
        <f t="shared" si="1"/>
        <v>0</v>
      </c>
      <c r="P11" s="12"/>
    </row>
    <row r="12" spans="1:18" ht="48.75" customHeight="1" x14ac:dyDescent="0.25">
      <c r="A12" s="12" t="s">
        <v>478</v>
      </c>
      <c r="B12" s="44" t="s">
        <v>479</v>
      </c>
      <c r="C12" s="34"/>
      <c r="D12" s="35"/>
      <c r="E12" s="35"/>
      <c r="F12" s="34"/>
      <c r="G12" s="35"/>
      <c r="H12" s="36"/>
      <c r="I12" s="12"/>
      <c r="J12" s="12">
        <f t="shared" si="0"/>
        <v>0</v>
      </c>
      <c r="K12" s="35"/>
      <c r="L12" s="35"/>
      <c r="M12" s="35"/>
      <c r="N12" s="36"/>
      <c r="O12" s="36">
        <f t="shared" si="1"/>
        <v>0</v>
      </c>
      <c r="P12" s="12"/>
    </row>
    <row r="13" spans="1:18" ht="37.5" customHeight="1" x14ac:dyDescent="0.25">
      <c r="A13" s="12" t="s">
        <v>480</v>
      </c>
      <c r="B13" s="44" t="s">
        <v>481</v>
      </c>
      <c r="C13" s="34" t="s">
        <v>214</v>
      </c>
      <c r="D13" s="112">
        <v>160</v>
      </c>
      <c r="E13" s="35">
        <v>44687.5</v>
      </c>
      <c r="F13" s="35">
        <f>D13*E13</f>
        <v>7150000</v>
      </c>
      <c r="G13" s="35">
        <f>F13*18%</f>
        <v>1287000</v>
      </c>
      <c r="H13" s="36">
        <f>F13+G13</f>
        <v>8437000</v>
      </c>
      <c r="I13" s="12">
        <f>28+12+10+26+4+13+3+21+5+28+10</f>
        <v>160</v>
      </c>
      <c r="J13" s="12">
        <f t="shared" si="0"/>
        <v>0</v>
      </c>
      <c r="K13" s="35">
        <f>I13*E13</f>
        <v>7150000</v>
      </c>
      <c r="L13" s="35">
        <f>K13*18%</f>
        <v>1287000</v>
      </c>
      <c r="M13" s="35">
        <f>K13*10%</f>
        <v>715000</v>
      </c>
      <c r="N13" s="36">
        <f>SUM(K13:L13)-M13</f>
        <v>7722000</v>
      </c>
      <c r="O13" s="36">
        <f t="shared" si="1"/>
        <v>0</v>
      </c>
      <c r="P13" s="12"/>
    </row>
    <row r="14" spans="1:18" ht="37.5" customHeight="1" x14ac:dyDescent="0.25">
      <c r="A14" s="12" t="s">
        <v>482</v>
      </c>
      <c r="B14" s="44" t="s">
        <v>483</v>
      </c>
      <c r="C14" s="34" t="s">
        <v>214</v>
      </c>
      <c r="D14" s="112">
        <v>160</v>
      </c>
      <c r="E14" s="35">
        <v>36562.5</v>
      </c>
      <c r="F14" s="35">
        <f>D14*E14</f>
        <v>5850000</v>
      </c>
      <c r="G14" s="35">
        <f>F14*18%</f>
        <v>1053000</v>
      </c>
      <c r="H14" s="36">
        <f>F14+G14</f>
        <v>6903000</v>
      </c>
      <c r="I14" s="12">
        <f>27+12+18+22+23+6+23+3+25+1</f>
        <v>160</v>
      </c>
      <c r="J14" s="12">
        <f t="shared" si="0"/>
        <v>0</v>
      </c>
      <c r="K14" s="35">
        <f>I14*E14</f>
        <v>5850000</v>
      </c>
      <c r="L14" s="35">
        <f>K14*18%</f>
        <v>1053000</v>
      </c>
      <c r="M14" s="35">
        <f>K14*10%</f>
        <v>585000</v>
      </c>
      <c r="N14" s="36">
        <f>SUM(K14:L14)-M14</f>
        <v>6318000</v>
      </c>
      <c r="O14" s="36">
        <f t="shared" si="1"/>
        <v>0</v>
      </c>
      <c r="P14" s="12"/>
    </row>
    <row r="15" spans="1:18" ht="37.5" customHeight="1" x14ac:dyDescent="0.25">
      <c r="A15" s="12" t="s">
        <v>484</v>
      </c>
      <c r="B15" s="44" t="s">
        <v>485</v>
      </c>
      <c r="C15" s="34" t="s">
        <v>486</v>
      </c>
      <c r="D15" s="112">
        <v>1000</v>
      </c>
      <c r="E15" s="35">
        <v>2925</v>
      </c>
      <c r="F15" s="35">
        <f>D15*E15</f>
        <v>2925000</v>
      </c>
      <c r="G15" s="35">
        <f t="shared" ref="G15:G21" si="2">F15*18%</f>
        <v>526500</v>
      </c>
      <c r="H15" s="36">
        <f t="shared" ref="H15:H21" si="3">F15+G15</f>
        <v>3451500</v>
      </c>
      <c r="I15" s="12">
        <f>171+62+100+27+46+25+100+31+115+117+140+66</f>
        <v>1000</v>
      </c>
      <c r="J15" s="12">
        <f t="shared" si="0"/>
        <v>0</v>
      </c>
      <c r="K15" s="35">
        <f>I15*E15</f>
        <v>2925000</v>
      </c>
      <c r="L15" s="35">
        <f>K15*18%</f>
        <v>526500</v>
      </c>
      <c r="M15" s="35">
        <f>K15*10%</f>
        <v>292500</v>
      </c>
      <c r="N15" s="36">
        <f>SUM(K15:L15)-M15</f>
        <v>3159000</v>
      </c>
      <c r="O15" s="36">
        <f t="shared" si="1"/>
        <v>0</v>
      </c>
      <c r="P15" s="12"/>
    </row>
    <row r="16" spans="1:18" ht="37.5" customHeight="1" x14ac:dyDescent="0.25">
      <c r="A16" s="12" t="s">
        <v>487</v>
      </c>
      <c r="B16" s="44" t="s">
        <v>488</v>
      </c>
      <c r="C16" s="34" t="s">
        <v>214</v>
      </c>
      <c r="D16" s="112">
        <v>160</v>
      </c>
      <c r="E16" s="35">
        <v>18281.25</v>
      </c>
      <c r="F16" s="35">
        <f>D16*E16</f>
        <v>2925000</v>
      </c>
      <c r="G16" s="35">
        <f t="shared" si="2"/>
        <v>526500</v>
      </c>
      <c r="H16" s="36">
        <f t="shared" si="3"/>
        <v>3451500</v>
      </c>
      <c r="I16" s="12">
        <f>7+19+31+8+23+9+5+20+30+5+3</f>
        <v>160</v>
      </c>
      <c r="J16" s="12">
        <f t="shared" si="0"/>
        <v>0</v>
      </c>
      <c r="K16" s="35">
        <f>I16*E16</f>
        <v>2925000</v>
      </c>
      <c r="L16" s="35">
        <f>K16*18%</f>
        <v>526500</v>
      </c>
      <c r="M16" s="35">
        <f>K16*10%</f>
        <v>292500</v>
      </c>
      <c r="N16" s="36">
        <f>SUM(K16:L16)-M16</f>
        <v>3159000</v>
      </c>
      <c r="O16" s="36">
        <f t="shared" si="1"/>
        <v>0</v>
      </c>
      <c r="P16" s="12"/>
    </row>
    <row r="17" spans="1:16" ht="37.5" customHeight="1" x14ac:dyDescent="0.25">
      <c r="A17" s="12" t="s">
        <v>489</v>
      </c>
      <c r="B17" s="44" t="s">
        <v>490</v>
      </c>
      <c r="C17" s="34" t="s">
        <v>486</v>
      </c>
      <c r="D17" s="112">
        <v>1000</v>
      </c>
      <c r="E17" s="35">
        <v>975</v>
      </c>
      <c r="F17" s="35">
        <f>D17*E17</f>
        <v>975000</v>
      </c>
      <c r="G17" s="35">
        <f t="shared" si="2"/>
        <v>175500</v>
      </c>
      <c r="H17" s="36">
        <f t="shared" si="3"/>
        <v>1150500</v>
      </c>
      <c r="I17" s="12">
        <f>69.7+26+146+65+123+249+272+39.3+10</f>
        <v>1000</v>
      </c>
      <c r="J17" s="12">
        <f t="shared" si="0"/>
        <v>0</v>
      </c>
      <c r="K17" s="35">
        <f>I17*E17</f>
        <v>975000</v>
      </c>
      <c r="L17" s="35">
        <f>K17*18%</f>
        <v>175500</v>
      </c>
      <c r="M17" s="35">
        <f>K17*10%</f>
        <v>97500</v>
      </c>
      <c r="N17" s="36">
        <f>SUM(K17:L17)-M17</f>
        <v>1053000</v>
      </c>
      <c r="O17" s="36">
        <f t="shared" si="1"/>
        <v>0</v>
      </c>
      <c r="P17" s="12"/>
    </row>
    <row r="18" spans="1:16" ht="37.5" customHeight="1" x14ac:dyDescent="0.25">
      <c r="A18" s="12" t="s">
        <v>491</v>
      </c>
      <c r="B18" s="44" t="s">
        <v>492</v>
      </c>
      <c r="C18" s="34"/>
      <c r="D18" s="112"/>
      <c r="E18" s="35"/>
      <c r="F18" s="35"/>
      <c r="G18" s="35"/>
      <c r="H18" s="36"/>
      <c r="I18" s="12"/>
      <c r="J18" s="12">
        <f t="shared" si="0"/>
        <v>0</v>
      </c>
      <c r="K18" s="35"/>
      <c r="L18" s="35"/>
      <c r="M18" s="35"/>
      <c r="N18" s="36"/>
      <c r="O18" s="36">
        <f t="shared" si="1"/>
        <v>0</v>
      </c>
      <c r="P18" s="12"/>
    </row>
    <row r="19" spans="1:16" ht="37.5" customHeight="1" x14ac:dyDescent="0.25">
      <c r="A19" s="12" t="s">
        <v>493</v>
      </c>
      <c r="B19" s="44" t="s">
        <v>494</v>
      </c>
      <c r="C19" s="34" t="s">
        <v>486</v>
      </c>
      <c r="D19" s="112">
        <v>1000</v>
      </c>
      <c r="E19" s="35">
        <v>3250</v>
      </c>
      <c r="F19" s="35">
        <f>D19*E19</f>
        <v>3250000</v>
      </c>
      <c r="G19" s="35">
        <f t="shared" si="2"/>
        <v>585000</v>
      </c>
      <c r="H19" s="36">
        <f t="shared" si="3"/>
        <v>3835000</v>
      </c>
      <c r="I19" s="12">
        <f>57+135+134+157+18+113+105+97+164+20</f>
        <v>1000</v>
      </c>
      <c r="J19" s="12">
        <f t="shared" si="0"/>
        <v>0</v>
      </c>
      <c r="K19" s="35">
        <f>I19*E19</f>
        <v>3250000</v>
      </c>
      <c r="L19" s="35">
        <f>K19*18%</f>
        <v>585000</v>
      </c>
      <c r="M19" s="35">
        <f>K19*10%</f>
        <v>325000</v>
      </c>
      <c r="N19" s="36">
        <f>SUM(K19:L19)-M19</f>
        <v>3510000</v>
      </c>
      <c r="O19" s="36">
        <f t="shared" si="1"/>
        <v>0</v>
      </c>
      <c r="P19" s="12"/>
    </row>
    <row r="20" spans="1:16" ht="37.5" customHeight="1" x14ac:dyDescent="0.25">
      <c r="A20" s="12" t="s">
        <v>495</v>
      </c>
      <c r="B20" s="44" t="s">
        <v>496</v>
      </c>
      <c r="C20" s="34"/>
      <c r="D20" s="112"/>
      <c r="E20" s="35"/>
      <c r="F20" s="35"/>
      <c r="G20" s="35"/>
      <c r="H20" s="36"/>
      <c r="I20" s="12"/>
      <c r="J20" s="12">
        <f t="shared" si="0"/>
        <v>0</v>
      </c>
      <c r="K20" s="35"/>
      <c r="L20" s="35"/>
      <c r="M20" s="35"/>
      <c r="N20" s="36"/>
      <c r="O20" s="36">
        <f t="shared" si="1"/>
        <v>0</v>
      </c>
      <c r="P20" s="12"/>
    </row>
    <row r="21" spans="1:16" ht="37.5" customHeight="1" x14ac:dyDescent="0.25">
      <c r="A21" s="12" t="s">
        <v>497</v>
      </c>
      <c r="B21" s="44" t="s">
        <v>498</v>
      </c>
      <c r="C21" s="34" t="s">
        <v>32</v>
      </c>
      <c r="D21" s="112">
        <v>100</v>
      </c>
      <c r="E21" s="35">
        <v>32500</v>
      </c>
      <c r="F21" s="35">
        <f>E21*D21</f>
        <v>3250000</v>
      </c>
      <c r="G21" s="35">
        <f t="shared" si="2"/>
        <v>585000</v>
      </c>
      <c r="H21" s="36">
        <f t="shared" si="3"/>
        <v>3835000</v>
      </c>
      <c r="I21" s="12">
        <f>5+4.2+8.2+34.6+22+12.4+13.6</f>
        <v>100</v>
      </c>
      <c r="J21" s="12">
        <f t="shared" si="0"/>
        <v>0</v>
      </c>
      <c r="K21" s="35">
        <f>I21*E21</f>
        <v>3250000</v>
      </c>
      <c r="L21" s="35">
        <f>K21*18%</f>
        <v>585000</v>
      </c>
      <c r="M21" s="35">
        <f>K21*10%</f>
        <v>325000</v>
      </c>
      <c r="N21" s="36">
        <f>SUM(K21:L21)-M21</f>
        <v>3510000</v>
      </c>
      <c r="O21" s="36">
        <f t="shared" si="1"/>
        <v>0</v>
      </c>
      <c r="P21" s="12"/>
    </row>
    <row r="22" spans="1:16" ht="37.5" customHeight="1" x14ac:dyDescent="0.25">
      <c r="A22" s="12" t="s">
        <v>499</v>
      </c>
      <c r="B22" s="44" t="s">
        <v>500</v>
      </c>
      <c r="C22" s="34"/>
      <c r="D22" s="112"/>
      <c r="E22" s="35"/>
      <c r="F22" s="35"/>
      <c r="G22" s="35"/>
      <c r="H22" s="36"/>
      <c r="I22" s="12"/>
      <c r="J22" s="12">
        <f t="shared" si="0"/>
        <v>0</v>
      </c>
      <c r="K22" s="35"/>
      <c r="L22" s="35"/>
      <c r="M22" s="35"/>
      <c r="N22" s="36"/>
      <c r="O22" s="36">
        <f t="shared" si="1"/>
        <v>0</v>
      </c>
      <c r="P22" s="12"/>
    </row>
    <row r="23" spans="1:16" ht="37.5" customHeight="1" x14ac:dyDescent="0.25">
      <c r="A23" s="12" t="s">
        <v>501</v>
      </c>
      <c r="B23" s="44" t="s">
        <v>502</v>
      </c>
      <c r="C23" s="34" t="s">
        <v>32</v>
      </c>
      <c r="D23" s="112">
        <v>100</v>
      </c>
      <c r="E23" s="35">
        <v>8125</v>
      </c>
      <c r="F23" s="35">
        <f>E23*D23</f>
        <v>812500</v>
      </c>
      <c r="G23" s="35">
        <f>F23*18%</f>
        <v>146250</v>
      </c>
      <c r="H23" s="36">
        <f>F23+G23</f>
        <v>958750</v>
      </c>
      <c r="I23" s="12">
        <f>18+72+10</f>
        <v>100</v>
      </c>
      <c r="J23" s="12">
        <f t="shared" si="0"/>
        <v>0</v>
      </c>
      <c r="K23" s="35">
        <f>I23*E23</f>
        <v>812500</v>
      </c>
      <c r="L23" s="35">
        <f>K23*18%</f>
        <v>146250</v>
      </c>
      <c r="M23" s="35">
        <f>K23*10%</f>
        <v>81250</v>
      </c>
      <c r="N23" s="36">
        <f>SUM(K23:L23)-M23</f>
        <v>877500</v>
      </c>
      <c r="O23" s="36">
        <f t="shared" si="1"/>
        <v>0</v>
      </c>
      <c r="P23" s="12"/>
    </row>
    <row r="24" spans="1:16" ht="37.5" customHeight="1" x14ac:dyDescent="0.25">
      <c r="A24" s="12" t="s">
        <v>503</v>
      </c>
      <c r="B24" s="44" t="s">
        <v>504</v>
      </c>
      <c r="C24" s="34" t="s">
        <v>32</v>
      </c>
      <c r="D24" s="112">
        <v>100</v>
      </c>
      <c r="E24" s="35">
        <v>8125</v>
      </c>
      <c r="F24" s="35">
        <f>E24*D24</f>
        <v>812500</v>
      </c>
      <c r="G24" s="35">
        <f>F24*18%</f>
        <v>146250</v>
      </c>
      <c r="H24" s="36">
        <f>F24+G24</f>
        <v>958750</v>
      </c>
      <c r="I24" s="12">
        <f>18+25+57</f>
        <v>100</v>
      </c>
      <c r="J24" s="12">
        <f t="shared" si="0"/>
        <v>0</v>
      </c>
      <c r="K24" s="35">
        <f>I24*E24</f>
        <v>812500</v>
      </c>
      <c r="L24" s="35">
        <f>K24*18%</f>
        <v>146250</v>
      </c>
      <c r="M24" s="35">
        <f>K24*10%</f>
        <v>81250</v>
      </c>
      <c r="N24" s="36">
        <f>SUM(K24:L24)-M24</f>
        <v>877500</v>
      </c>
      <c r="O24" s="36">
        <f t="shared" si="1"/>
        <v>0</v>
      </c>
      <c r="P24" s="12"/>
    </row>
    <row r="25" spans="1:16" ht="37.5" customHeight="1" x14ac:dyDescent="0.25">
      <c r="A25" s="12" t="s">
        <v>505</v>
      </c>
      <c r="B25" s="44" t="s">
        <v>506</v>
      </c>
      <c r="C25" s="34"/>
      <c r="D25" s="112"/>
      <c r="E25" s="35"/>
      <c r="F25" s="35"/>
      <c r="G25" s="35"/>
      <c r="H25" s="36"/>
      <c r="I25" s="12"/>
      <c r="J25" s="12">
        <f t="shared" si="0"/>
        <v>0</v>
      </c>
      <c r="K25" s="35"/>
      <c r="L25" s="35"/>
      <c r="M25" s="35"/>
      <c r="N25" s="36"/>
      <c r="O25" s="36">
        <f t="shared" si="1"/>
        <v>0</v>
      </c>
      <c r="P25" s="12"/>
    </row>
    <row r="26" spans="1:16" ht="37.5" customHeight="1" x14ac:dyDescent="0.25">
      <c r="A26" s="12" t="s">
        <v>507</v>
      </c>
      <c r="B26" s="44" t="s">
        <v>508</v>
      </c>
      <c r="C26" s="34" t="s">
        <v>32</v>
      </c>
      <c r="D26" s="112">
        <v>100</v>
      </c>
      <c r="E26" s="35">
        <v>6500</v>
      </c>
      <c r="F26" s="35">
        <f>E26*D26</f>
        <v>650000</v>
      </c>
      <c r="G26" s="35">
        <f>F26*18%</f>
        <v>117000</v>
      </c>
      <c r="H26" s="36">
        <f>F26+G26</f>
        <v>767000</v>
      </c>
      <c r="I26" s="12">
        <f>25+65+10</f>
        <v>100</v>
      </c>
      <c r="J26" s="12">
        <f t="shared" si="0"/>
        <v>0</v>
      </c>
      <c r="K26" s="35">
        <f>I26*E26</f>
        <v>650000</v>
      </c>
      <c r="L26" s="35">
        <f>K26*18%</f>
        <v>117000</v>
      </c>
      <c r="M26" s="35">
        <f>K26*10%</f>
        <v>65000</v>
      </c>
      <c r="N26" s="36">
        <f>SUM(K26:L26)-M26</f>
        <v>702000</v>
      </c>
      <c r="O26" s="36">
        <f>J21*E21</f>
        <v>0</v>
      </c>
      <c r="P26" s="12"/>
    </row>
    <row r="27" spans="1:16" ht="37.5" customHeight="1" x14ac:dyDescent="0.25">
      <c r="A27" s="12" t="s">
        <v>65</v>
      </c>
      <c r="B27" s="46" t="s">
        <v>509</v>
      </c>
      <c r="C27" s="34"/>
      <c r="D27" s="112"/>
      <c r="E27" s="35"/>
      <c r="F27" s="35"/>
      <c r="G27" s="35"/>
      <c r="H27" s="36"/>
      <c r="I27" s="12"/>
      <c r="J27" s="12">
        <f t="shared" si="0"/>
        <v>0</v>
      </c>
      <c r="K27" s="35"/>
      <c r="L27" s="35"/>
      <c r="M27" s="35"/>
      <c r="N27" s="36"/>
      <c r="O27" s="36">
        <f t="shared" si="1"/>
        <v>0</v>
      </c>
      <c r="P27" s="12"/>
    </row>
    <row r="28" spans="1:16" ht="37.5" customHeight="1" x14ac:dyDescent="0.25">
      <c r="A28" s="12" t="s">
        <v>290</v>
      </c>
      <c r="B28" s="44" t="s">
        <v>510</v>
      </c>
      <c r="C28" s="34"/>
      <c r="D28" s="112"/>
      <c r="E28" s="35"/>
      <c r="F28" s="35"/>
      <c r="G28" s="35"/>
      <c r="H28" s="36"/>
      <c r="I28" s="12"/>
      <c r="J28" s="12">
        <f t="shared" si="0"/>
        <v>0</v>
      </c>
      <c r="K28" s="35"/>
      <c r="L28" s="35"/>
      <c r="M28" s="35"/>
      <c r="N28" s="36"/>
      <c r="O28" s="36">
        <f t="shared" si="1"/>
        <v>0</v>
      </c>
      <c r="P28" s="12"/>
    </row>
    <row r="29" spans="1:16" ht="60.75" customHeight="1" x14ac:dyDescent="0.25">
      <c r="A29" s="12" t="s">
        <v>292</v>
      </c>
      <c r="B29" s="44" t="s">
        <v>511</v>
      </c>
      <c r="C29" s="34" t="s">
        <v>32</v>
      </c>
      <c r="D29" s="112">
        <v>100</v>
      </c>
      <c r="E29" s="35">
        <v>568925</v>
      </c>
      <c r="F29" s="35">
        <f>E29*D29</f>
        <v>56892500</v>
      </c>
      <c r="G29" s="35">
        <f>F29*18%</f>
        <v>10240650</v>
      </c>
      <c r="H29" s="36">
        <f>F29+G29</f>
        <v>67133150</v>
      </c>
      <c r="I29" s="112">
        <f>53.8+16.6+13.85+15.75</f>
        <v>100</v>
      </c>
      <c r="J29" s="12">
        <f t="shared" si="0"/>
        <v>0</v>
      </c>
      <c r="K29" s="35">
        <f>E29*I29</f>
        <v>56892500</v>
      </c>
      <c r="L29" s="35">
        <f>K29*18%</f>
        <v>10240650</v>
      </c>
      <c r="M29" s="35">
        <f>K29*10%</f>
        <v>5689250</v>
      </c>
      <c r="N29" s="36">
        <f>SUM(K29:L29)-M29</f>
        <v>61443900</v>
      </c>
      <c r="O29" s="36">
        <f t="shared" si="1"/>
        <v>0</v>
      </c>
      <c r="P29" s="12"/>
    </row>
    <row r="30" spans="1:16" ht="37.5" customHeight="1" x14ac:dyDescent="0.25">
      <c r="A30" s="12" t="s">
        <v>294</v>
      </c>
      <c r="B30" s="44" t="s">
        <v>512</v>
      </c>
      <c r="C30" s="34" t="s">
        <v>214</v>
      </c>
      <c r="D30" s="112">
        <v>2</v>
      </c>
      <c r="E30" s="35">
        <v>4375000</v>
      </c>
      <c r="F30" s="35">
        <f>D30*E30</f>
        <v>8750000</v>
      </c>
      <c r="G30" s="35">
        <f>F30*18%</f>
        <v>1575000</v>
      </c>
      <c r="H30" s="36">
        <f>F30+G30</f>
        <v>10325000</v>
      </c>
      <c r="I30" s="34">
        <v>2</v>
      </c>
      <c r="J30" s="12">
        <f t="shared" si="0"/>
        <v>0</v>
      </c>
      <c r="K30" s="35">
        <f>E30*I30</f>
        <v>8750000</v>
      </c>
      <c r="L30" s="35">
        <f>K30*18%</f>
        <v>1575000</v>
      </c>
      <c r="M30" s="35">
        <f>K30*10%</f>
        <v>875000</v>
      </c>
      <c r="N30" s="36">
        <f>SUM(K30:L30)-M30</f>
        <v>9450000</v>
      </c>
      <c r="O30" s="36">
        <f t="shared" si="1"/>
        <v>0</v>
      </c>
      <c r="P30" s="12"/>
    </row>
    <row r="31" spans="1:16" ht="37.5" customHeight="1" x14ac:dyDescent="0.25">
      <c r="A31" s="12" t="s">
        <v>296</v>
      </c>
      <c r="B31" s="44" t="s">
        <v>513</v>
      </c>
      <c r="C31" s="34" t="s">
        <v>214</v>
      </c>
      <c r="D31" s="112">
        <v>2</v>
      </c>
      <c r="E31" s="35">
        <v>4375000</v>
      </c>
      <c r="F31" s="35">
        <f>D31*E31</f>
        <v>8750000</v>
      </c>
      <c r="G31" s="35">
        <f>F31*18%</f>
        <v>1575000</v>
      </c>
      <c r="H31" s="36">
        <f>F31+G31</f>
        <v>10325000</v>
      </c>
      <c r="I31" s="34">
        <v>2</v>
      </c>
      <c r="J31" s="12">
        <f t="shared" si="0"/>
        <v>0</v>
      </c>
      <c r="K31" s="35">
        <f>E31*I31</f>
        <v>8750000</v>
      </c>
      <c r="L31" s="35">
        <f>K31*18%</f>
        <v>1575000</v>
      </c>
      <c r="M31" s="35">
        <f>K31*10%</f>
        <v>875000</v>
      </c>
      <c r="N31" s="36">
        <f>SUM(K31:L31)-M31</f>
        <v>9450000</v>
      </c>
      <c r="O31" s="36">
        <f t="shared" si="1"/>
        <v>0</v>
      </c>
      <c r="P31" s="12"/>
    </row>
    <row r="32" spans="1:16" ht="37.5" customHeight="1" x14ac:dyDescent="0.25">
      <c r="A32" s="12" t="s">
        <v>514</v>
      </c>
      <c r="B32" s="44" t="s">
        <v>515</v>
      </c>
      <c r="C32" s="34" t="s">
        <v>214</v>
      </c>
      <c r="D32" s="112">
        <v>2</v>
      </c>
      <c r="E32" s="35">
        <v>4375000</v>
      </c>
      <c r="F32" s="35">
        <f>D32*E32</f>
        <v>8750000</v>
      </c>
      <c r="G32" s="35">
        <f>F32*18%</f>
        <v>1575000</v>
      </c>
      <c r="H32" s="36">
        <f>F32+G32</f>
        <v>10325000</v>
      </c>
      <c r="I32" s="34">
        <v>2</v>
      </c>
      <c r="J32" s="12">
        <f t="shared" si="0"/>
        <v>0</v>
      </c>
      <c r="K32" s="35">
        <f>E32*I32</f>
        <v>8750000</v>
      </c>
      <c r="L32" s="35">
        <f>K32*18%</f>
        <v>1575000</v>
      </c>
      <c r="M32" s="35">
        <f>K32*10%</f>
        <v>875000</v>
      </c>
      <c r="N32" s="36">
        <f>SUM(K32:L32)-M32</f>
        <v>9450000</v>
      </c>
      <c r="O32" s="36">
        <f t="shared" si="1"/>
        <v>0</v>
      </c>
      <c r="P32" s="12"/>
    </row>
    <row r="33" spans="1:16" ht="37.5" customHeight="1" x14ac:dyDescent="0.25">
      <c r="A33" s="12" t="s">
        <v>516</v>
      </c>
      <c r="B33" s="44" t="s">
        <v>517</v>
      </c>
      <c r="C33" s="34" t="s">
        <v>214</v>
      </c>
      <c r="D33" s="112">
        <v>3</v>
      </c>
      <c r="E33" s="35">
        <v>1452500</v>
      </c>
      <c r="F33" s="35">
        <f>D33*E33</f>
        <v>4357500</v>
      </c>
      <c r="G33" s="35">
        <f>F33*18%</f>
        <v>784350</v>
      </c>
      <c r="H33" s="36">
        <f>F33+G33</f>
        <v>5141850</v>
      </c>
      <c r="I33" s="34">
        <f>1.5+0.5+0.5+0.5</f>
        <v>3</v>
      </c>
      <c r="J33" s="12">
        <f t="shared" si="0"/>
        <v>0</v>
      </c>
      <c r="K33" s="35">
        <f>E33*I33</f>
        <v>4357500</v>
      </c>
      <c r="L33" s="35">
        <f>K33*18%</f>
        <v>784350</v>
      </c>
      <c r="M33" s="35">
        <f>K33*10%</f>
        <v>435750</v>
      </c>
      <c r="N33" s="36">
        <f>SUM(K33:L33)-M33</f>
        <v>4706100</v>
      </c>
      <c r="O33" s="36">
        <f t="shared" si="1"/>
        <v>0</v>
      </c>
      <c r="P33" s="12"/>
    </row>
    <row r="34" spans="1:16" ht="37.5" customHeight="1" x14ac:dyDescent="0.25">
      <c r="A34" s="12" t="s">
        <v>86</v>
      </c>
      <c r="B34" s="46" t="s">
        <v>518</v>
      </c>
      <c r="C34" s="34"/>
      <c r="D34" s="112"/>
      <c r="E34" s="35"/>
      <c r="F34" s="35"/>
      <c r="G34" s="35"/>
      <c r="H34" s="36"/>
      <c r="I34" s="12"/>
      <c r="J34" s="12">
        <f t="shared" si="0"/>
        <v>0</v>
      </c>
      <c r="K34" s="35"/>
      <c r="L34" s="35"/>
      <c r="M34" s="35"/>
      <c r="N34" s="36"/>
      <c r="O34" s="36">
        <f t="shared" si="1"/>
        <v>0</v>
      </c>
      <c r="P34" s="12"/>
    </row>
    <row r="35" spans="1:16" ht="37.5" customHeight="1" x14ac:dyDescent="0.25">
      <c r="A35" s="12" t="s">
        <v>519</v>
      </c>
      <c r="B35" s="44" t="s">
        <v>520</v>
      </c>
      <c r="C35" s="34"/>
      <c r="D35" s="112"/>
      <c r="E35" s="35"/>
      <c r="F35" s="35"/>
      <c r="G35" s="35"/>
      <c r="H35" s="36"/>
      <c r="I35" s="12"/>
      <c r="J35" s="12">
        <f t="shared" si="0"/>
        <v>0</v>
      </c>
      <c r="K35" s="35"/>
      <c r="L35" s="35"/>
      <c r="M35" s="35"/>
      <c r="N35" s="36"/>
      <c r="O35" s="36">
        <f t="shared" si="1"/>
        <v>0</v>
      </c>
      <c r="P35" s="12"/>
    </row>
    <row r="36" spans="1:16" ht="37.5" customHeight="1" x14ac:dyDescent="0.25">
      <c r="A36" s="12" t="s">
        <v>521</v>
      </c>
      <c r="B36" s="44" t="s">
        <v>522</v>
      </c>
      <c r="C36" s="34" t="s">
        <v>32</v>
      </c>
      <c r="D36" s="112">
        <v>100</v>
      </c>
      <c r="E36" s="35">
        <v>5000</v>
      </c>
      <c r="F36" s="35">
        <f>E36*D36</f>
        <v>500000</v>
      </c>
      <c r="G36" s="35">
        <f>F36*18%</f>
        <v>90000</v>
      </c>
      <c r="H36" s="36">
        <f>F36+G36</f>
        <v>590000</v>
      </c>
      <c r="I36" s="12">
        <f>73.5+11.85+14.6+0.05</f>
        <v>99.999999999999986</v>
      </c>
      <c r="J36" s="12">
        <f t="shared" si="0"/>
        <v>0</v>
      </c>
      <c r="K36" s="35">
        <f>E36*I36</f>
        <v>499999.99999999994</v>
      </c>
      <c r="L36" s="35">
        <f>K36*18%</f>
        <v>89999.999999999985</v>
      </c>
      <c r="M36" s="35">
        <f>K36*10%</f>
        <v>50000</v>
      </c>
      <c r="N36" s="36">
        <f>SUM(K36:L36)-M36</f>
        <v>539999.99999999988</v>
      </c>
      <c r="O36" s="36">
        <f t="shared" si="1"/>
        <v>0</v>
      </c>
      <c r="P36" s="12"/>
    </row>
    <row r="37" spans="1:16" ht="37.5" customHeight="1" x14ac:dyDescent="0.25">
      <c r="A37" s="12" t="s">
        <v>523</v>
      </c>
      <c r="B37" s="44" t="s">
        <v>524</v>
      </c>
      <c r="C37" s="34" t="s">
        <v>32</v>
      </c>
      <c r="D37" s="112">
        <v>100</v>
      </c>
      <c r="E37" s="35">
        <v>5000</v>
      </c>
      <c r="F37" s="35">
        <f>E37*D37</f>
        <v>500000</v>
      </c>
      <c r="G37" s="35">
        <f>F37*18%</f>
        <v>90000</v>
      </c>
      <c r="H37" s="36">
        <f>F37+G37</f>
        <v>590000</v>
      </c>
      <c r="I37" s="12">
        <v>100</v>
      </c>
      <c r="J37" s="12">
        <f t="shared" si="0"/>
        <v>0</v>
      </c>
      <c r="K37" s="35">
        <f>E37*I37</f>
        <v>500000</v>
      </c>
      <c r="L37" s="35">
        <f>K37*18%</f>
        <v>90000</v>
      </c>
      <c r="M37" s="35">
        <f>K37*10%</f>
        <v>50000</v>
      </c>
      <c r="N37" s="36">
        <f>SUM(K37:L37)-M37</f>
        <v>540000</v>
      </c>
      <c r="O37" s="36">
        <f t="shared" si="1"/>
        <v>0</v>
      </c>
      <c r="P37" s="12"/>
    </row>
    <row r="38" spans="1:16" ht="37.5" customHeight="1" x14ac:dyDescent="0.25">
      <c r="A38" s="12" t="s">
        <v>525</v>
      </c>
      <c r="B38" s="44" t="s">
        <v>526</v>
      </c>
      <c r="C38" s="34"/>
      <c r="D38" s="112"/>
      <c r="E38" s="35"/>
      <c r="F38" s="35"/>
      <c r="G38" s="35"/>
      <c r="H38" s="36"/>
      <c r="I38" s="12"/>
      <c r="J38" s="12">
        <f t="shared" si="0"/>
        <v>0</v>
      </c>
      <c r="K38" s="35"/>
      <c r="L38" s="35"/>
      <c r="M38" s="35"/>
      <c r="N38" s="36"/>
      <c r="O38" s="36">
        <f t="shared" si="1"/>
        <v>0</v>
      </c>
      <c r="P38" s="12"/>
    </row>
    <row r="39" spans="1:16" ht="37.5" customHeight="1" x14ac:dyDescent="0.25">
      <c r="A39" s="12" t="s">
        <v>527</v>
      </c>
      <c r="B39" s="44" t="s">
        <v>528</v>
      </c>
      <c r="C39" s="34" t="s">
        <v>32</v>
      </c>
      <c r="D39" s="112">
        <v>100</v>
      </c>
      <c r="E39" s="35">
        <v>10000</v>
      </c>
      <c r="F39" s="35">
        <f>E39*D39</f>
        <v>1000000</v>
      </c>
      <c r="G39" s="35">
        <f>F39*18%</f>
        <v>180000</v>
      </c>
      <c r="H39" s="36">
        <f>F39+G39</f>
        <v>1180000</v>
      </c>
      <c r="I39" s="12">
        <f>72.5+12.2+15.3</f>
        <v>100</v>
      </c>
      <c r="J39" s="12">
        <f t="shared" si="0"/>
        <v>0</v>
      </c>
      <c r="K39" s="35">
        <f t="shared" ref="K39:K57" si="4">E39*I39</f>
        <v>1000000</v>
      </c>
      <c r="L39" s="35">
        <f t="shared" ref="L39:L57" si="5">K39*18%</f>
        <v>180000</v>
      </c>
      <c r="M39" s="35">
        <f t="shared" ref="M39:M57" si="6">K39*10%</f>
        <v>100000</v>
      </c>
      <c r="N39" s="36">
        <f t="shared" ref="N39:N57" si="7">SUM(K39:L39)-M39</f>
        <v>1080000</v>
      </c>
      <c r="O39" s="36">
        <f t="shared" si="1"/>
        <v>0</v>
      </c>
      <c r="P39" s="12"/>
    </row>
    <row r="40" spans="1:16" ht="37.5" customHeight="1" x14ac:dyDescent="0.25">
      <c r="A40" s="12" t="s">
        <v>529</v>
      </c>
      <c r="B40" s="44" t="s">
        <v>530</v>
      </c>
      <c r="C40" s="34" t="s">
        <v>32</v>
      </c>
      <c r="D40" s="112">
        <v>100</v>
      </c>
      <c r="E40" s="35">
        <v>7500</v>
      </c>
      <c r="F40" s="35">
        <f>E40*D40</f>
        <v>750000</v>
      </c>
      <c r="G40" s="35">
        <f>F40*18%</f>
        <v>135000</v>
      </c>
      <c r="H40" s="36">
        <f>F40+G40</f>
        <v>885000</v>
      </c>
      <c r="I40" s="12">
        <f>35.3+64.7</f>
        <v>100</v>
      </c>
      <c r="J40" s="12">
        <f t="shared" si="0"/>
        <v>0</v>
      </c>
      <c r="K40" s="35">
        <f t="shared" si="4"/>
        <v>750000</v>
      </c>
      <c r="L40" s="35">
        <f t="shared" si="5"/>
        <v>135000</v>
      </c>
      <c r="M40" s="35">
        <f t="shared" si="6"/>
        <v>75000</v>
      </c>
      <c r="N40" s="36">
        <f t="shared" si="7"/>
        <v>810000</v>
      </c>
      <c r="O40" s="36">
        <f t="shared" si="1"/>
        <v>0</v>
      </c>
      <c r="P40" s="12"/>
    </row>
    <row r="41" spans="1:16" ht="37.5" customHeight="1" x14ac:dyDescent="0.25">
      <c r="A41" s="12" t="s">
        <v>531</v>
      </c>
      <c r="B41" s="44" t="s">
        <v>357</v>
      </c>
      <c r="C41" s="34" t="s">
        <v>32</v>
      </c>
      <c r="D41" s="112">
        <v>100</v>
      </c>
      <c r="E41" s="35">
        <v>7500</v>
      </c>
      <c r="F41" s="35">
        <f>E41*D41</f>
        <v>750000</v>
      </c>
      <c r="G41" s="35">
        <f t="shared" ref="G41:G57" si="8">F41*18%</f>
        <v>135000</v>
      </c>
      <c r="H41" s="36">
        <f t="shared" ref="H41:H57" si="9">F41+G41</f>
        <v>885000</v>
      </c>
      <c r="I41" s="12">
        <f>78.7+17.7+3.6</f>
        <v>100</v>
      </c>
      <c r="J41" s="12">
        <f t="shared" si="0"/>
        <v>0</v>
      </c>
      <c r="K41" s="35">
        <f t="shared" si="4"/>
        <v>750000</v>
      </c>
      <c r="L41" s="35">
        <f t="shared" si="5"/>
        <v>135000</v>
      </c>
      <c r="M41" s="35">
        <f t="shared" si="6"/>
        <v>75000</v>
      </c>
      <c r="N41" s="36">
        <f t="shared" si="7"/>
        <v>810000</v>
      </c>
      <c r="O41" s="36">
        <f t="shared" si="1"/>
        <v>0</v>
      </c>
      <c r="P41" s="12"/>
    </row>
    <row r="42" spans="1:16" ht="50.25" customHeight="1" x14ac:dyDescent="0.25">
      <c r="A42" s="12" t="s">
        <v>532</v>
      </c>
      <c r="B42" s="44" t="s">
        <v>533</v>
      </c>
      <c r="C42" s="34" t="s">
        <v>32</v>
      </c>
      <c r="D42" s="112">
        <v>100</v>
      </c>
      <c r="E42" s="35">
        <v>25000</v>
      </c>
      <c r="F42" s="35">
        <f>E42*D42</f>
        <v>2500000</v>
      </c>
      <c r="G42" s="35">
        <f t="shared" si="8"/>
        <v>450000</v>
      </c>
      <c r="H42" s="36">
        <f t="shared" si="9"/>
        <v>2950000</v>
      </c>
      <c r="I42" s="12">
        <f>32.5+55.8+11.7</f>
        <v>100</v>
      </c>
      <c r="J42" s="12">
        <f t="shared" si="0"/>
        <v>0</v>
      </c>
      <c r="K42" s="35">
        <f t="shared" si="4"/>
        <v>2500000</v>
      </c>
      <c r="L42" s="35">
        <f t="shared" si="5"/>
        <v>450000</v>
      </c>
      <c r="M42" s="35">
        <f t="shared" si="6"/>
        <v>250000</v>
      </c>
      <c r="N42" s="36">
        <f t="shared" si="7"/>
        <v>2700000</v>
      </c>
      <c r="O42" s="36">
        <f t="shared" si="1"/>
        <v>0</v>
      </c>
      <c r="P42" s="12"/>
    </row>
    <row r="43" spans="1:16" ht="40.5" customHeight="1" x14ac:dyDescent="0.25">
      <c r="A43" s="12" t="s">
        <v>534</v>
      </c>
      <c r="B43" s="44" t="s">
        <v>535</v>
      </c>
      <c r="C43" s="34" t="s">
        <v>32</v>
      </c>
      <c r="D43" s="112">
        <v>100</v>
      </c>
      <c r="E43" s="35">
        <v>35000</v>
      </c>
      <c r="F43" s="35">
        <f>E43*D43</f>
        <v>3500000</v>
      </c>
      <c r="G43" s="35">
        <f t="shared" si="8"/>
        <v>630000</v>
      </c>
      <c r="H43" s="36">
        <f t="shared" si="9"/>
        <v>4130000</v>
      </c>
      <c r="I43" s="12">
        <v>100</v>
      </c>
      <c r="J43" s="12">
        <f t="shared" si="0"/>
        <v>0</v>
      </c>
      <c r="K43" s="35">
        <f t="shared" si="4"/>
        <v>3500000</v>
      </c>
      <c r="L43" s="35">
        <f t="shared" si="5"/>
        <v>630000</v>
      </c>
      <c r="M43" s="35">
        <f t="shared" si="6"/>
        <v>350000</v>
      </c>
      <c r="N43" s="36">
        <f t="shared" si="7"/>
        <v>3780000</v>
      </c>
      <c r="O43" s="36">
        <f t="shared" si="1"/>
        <v>0</v>
      </c>
      <c r="P43" s="12"/>
    </row>
    <row r="44" spans="1:16" ht="49.5" customHeight="1" x14ac:dyDescent="0.25">
      <c r="A44" s="12" t="s">
        <v>536</v>
      </c>
      <c r="B44" s="44" t="s">
        <v>537</v>
      </c>
      <c r="C44" s="34" t="s">
        <v>32</v>
      </c>
      <c r="D44" s="112">
        <v>100</v>
      </c>
      <c r="E44" s="35">
        <v>25000</v>
      </c>
      <c r="F44" s="35">
        <f t="shared" ref="F44:F57" si="10">E44*D44</f>
        <v>2500000</v>
      </c>
      <c r="G44" s="35">
        <f t="shared" si="8"/>
        <v>450000</v>
      </c>
      <c r="H44" s="36">
        <f t="shared" si="9"/>
        <v>2950000</v>
      </c>
      <c r="I44" s="12">
        <f>72.7+24.7+2.5+0.1</f>
        <v>100</v>
      </c>
      <c r="J44" s="12">
        <f t="shared" si="0"/>
        <v>0</v>
      </c>
      <c r="K44" s="35">
        <f t="shared" si="4"/>
        <v>2500000</v>
      </c>
      <c r="L44" s="35">
        <f t="shared" si="5"/>
        <v>450000</v>
      </c>
      <c r="M44" s="35">
        <f t="shared" si="6"/>
        <v>250000</v>
      </c>
      <c r="N44" s="36">
        <f t="shared" si="7"/>
        <v>2700000</v>
      </c>
      <c r="O44" s="36">
        <f t="shared" si="1"/>
        <v>0</v>
      </c>
      <c r="P44" s="12"/>
    </row>
    <row r="45" spans="1:16" ht="37.5" customHeight="1" x14ac:dyDescent="0.25">
      <c r="A45" s="12" t="s">
        <v>538</v>
      </c>
      <c r="B45" s="44" t="s">
        <v>539</v>
      </c>
      <c r="C45" s="34" t="s">
        <v>32</v>
      </c>
      <c r="D45" s="112">
        <v>100</v>
      </c>
      <c r="E45" s="35">
        <v>25000</v>
      </c>
      <c r="F45" s="35">
        <f t="shared" si="10"/>
        <v>2500000</v>
      </c>
      <c r="G45" s="35">
        <f t="shared" si="8"/>
        <v>450000</v>
      </c>
      <c r="H45" s="36">
        <f t="shared" si="9"/>
        <v>2950000</v>
      </c>
      <c r="I45" s="12">
        <v>100</v>
      </c>
      <c r="J45" s="12">
        <f t="shared" si="0"/>
        <v>0</v>
      </c>
      <c r="K45" s="35">
        <f t="shared" si="4"/>
        <v>2500000</v>
      </c>
      <c r="L45" s="35">
        <f t="shared" si="5"/>
        <v>450000</v>
      </c>
      <c r="M45" s="35">
        <f t="shared" si="6"/>
        <v>250000</v>
      </c>
      <c r="N45" s="36">
        <f t="shared" si="7"/>
        <v>2700000</v>
      </c>
      <c r="O45" s="36">
        <f t="shared" si="1"/>
        <v>0</v>
      </c>
      <c r="P45" s="12"/>
    </row>
    <row r="46" spans="1:16" ht="37.5" customHeight="1" x14ac:dyDescent="0.25">
      <c r="A46" s="12" t="s">
        <v>540</v>
      </c>
      <c r="B46" s="44" t="s">
        <v>541</v>
      </c>
      <c r="C46" s="34" t="s">
        <v>32</v>
      </c>
      <c r="D46" s="112">
        <v>100</v>
      </c>
      <c r="E46" s="35">
        <v>22500</v>
      </c>
      <c r="F46" s="35">
        <f t="shared" si="10"/>
        <v>2250000</v>
      </c>
      <c r="G46" s="35">
        <f t="shared" si="8"/>
        <v>405000</v>
      </c>
      <c r="H46" s="36">
        <f t="shared" si="9"/>
        <v>2655000</v>
      </c>
      <c r="I46" s="12">
        <f>26.3+16.61+16.59+3+23.4+6.1+8</f>
        <v>100</v>
      </c>
      <c r="J46" s="12">
        <f t="shared" si="0"/>
        <v>0</v>
      </c>
      <c r="K46" s="35">
        <f t="shared" si="4"/>
        <v>2250000</v>
      </c>
      <c r="L46" s="35">
        <f t="shared" si="5"/>
        <v>405000</v>
      </c>
      <c r="M46" s="35">
        <f t="shared" si="6"/>
        <v>225000</v>
      </c>
      <c r="N46" s="36">
        <f t="shared" si="7"/>
        <v>2430000</v>
      </c>
      <c r="O46" s="36">
        <f t="shared" si="1"/>
        <v>0</v>
      </c>
      <c r="P46" s="12"/>
    </row>
    <row r="47" spans="1:16" ht="37.5" customHeight="1" x14ac:dyDescent="0.25">
      <c r="A47" s="12" t="s">
        <v>542</v>
      </c>
      <c r="B47" s="44" t="s">
        <v>543</v>
      </c>
      <c r="C47" s="34" t="s">
        <v>32</v>
      </c>
      <c r="D47" s="112">
        <v>100</v>
      </c>
      <c r="E47" s="35">
        <v>17500</v>
      </c>
      <c r="F47" s="35">
        <f t="shared" si="10"/>
        <v>1750000</v>
      </c>
      <c r="G47" s="35">
        <f t="shared" si="8"/>
        <v>315000</v>
      </c>
      <c r="H47" s="36">
        <f t="shared" si="9"/>
        <v>2065000</v>
      </c>
      <c r="I47" s="12">
        <f>30+51.5+5.5+7+6</f>
        <v>100</v>
      </c>
      <c r="J47" s="12">
        <f t="shared" si="0"/>
        <v>0</v>
      </c>
      <c r="K47" s="35">
        <f t="shared" si="4"/>
        <v>1750000</v>
      </c>
      <c r="L47" s="35">
        <f t="shared" si="5"/>
        <v>315000</v>
      </c>
      <c r="M47" s="35">
        <f t="shared" si="6"/>
        <v>175000</v>
      </c>
      <c r="N47" s="36">
        <f t="shared" si="7"/>
        <v>1890000</v>
      </c>
      <c r="O47" s="36">
        <f t="shared" si="1"/>
        <v>0</v>
      </c>
      <c r="P47" s="12"/>
    </row>
    <row r="48" spans="1:16" ht="37.5" customHeight="1" x14ac:dyDescent="0.25">
      <c r="A48" s="12" t="s">
        <v>544</v>
      </c>
      <c r="B48" s="44" t="s">
        <v>545</v>
      </c>
      <c r="C48" s="34" t="s">
        <v>32</v>
      </c>
      <c r="D48" s="112">
        <v>100</v>
      </c>
      <c r="E48" s="35">
        <v>17500</v>
      </c>
      <c r="F48" s="35">
        <f t="shared" si="10"/>
        <v>1750000</v>
      </c>
      <c r="G48" s="35">
        <f t="shared" si="8"/>
        <v>315000</v>
      </c>
      <c r="H48" s="36">
        <f t="shared" si="9"/>
        <v>2065000</v>
      </c>
      <c r="I48" s="12">
        <f>30+63+5+2</f>
        <v>100</v>
      </c>
      <c r="J48" s="12">
        <f t="shared" si="0"/>
        <v>0</v>
      </c>
      <c r="K48" s="35">
        <f t="shared" si="4"/>
        <v>1750000</v>
      </c>
      <c r="L48" s="35">
        <f t="shared" si="5"/>
        <v>315000</v>
      </c>
      <c r="M48" s="35">
        <f t="shared" si="6"/>
        <v>175000</v>
      </c>
      <c r="N48" s="36">
        <f t="shared" si="7"/>
        <v>1890000</v>
      </c>
      <c r="O48" s="36">
        <f t="shared" si="1"/>
        <v>0</v>
      </c>
      <c r="P48" s="12"/>
    </row>
    <row r="49" spans="1:16" ht="37.5" customHeight="1" x14ac:dyDescent="0.25">
      <c r="A49" s="12" t="s">
        <v>546</v>
      </c>
      <c r="B49" s="44" t="s">
        <v>547</v>
      </c>
      <c r="C49" s="34" t="s">
        <v>32</v>
      </c>
      <c r="D49" s="112">
        <v>100</v>
      </c>
      <c r="E49" s="35">
        <v>12500</v>
      </c>
      <c r="F49" s="35">
        <f t="shared" si="10"/>
        <v>1250000</v>
      </c>
      <c r="G49" s="35">
        <f t="shared" si="8"/>
        <v>225000</v>
      </c>
      <c r="H49" s="36">
        <f t="shared" si="9"/>
        <v>1475000</v>
      </c>
      <c r="I49" s="12">
        <f>100</f>
        <v>100</v>
      </c>
      <c r="J49" s="12">
        <f t="shared" si="0"/>
        <v>0</v>
      </c>
      <c r="K49" s="35">
        <f t="shared" si="4"/>
        <v>1250000</v>
      </c>
      <c r="L49" s="35">
        <f t="shared" si="5"/>
        <v>225000</v>
      </c>
      <c r="M49" s="35">
        <f t="shared" si="6"/>
        <v>125000</v>
      </c>
      <c r="N49" s="36">
        <f t="shared" si="7"/>
        <v>1350000</v>
      </c>
      <c r="O49" s="36">
        <f t="shared" si="1"/>
        <v>0</v>
      </c>
      <c r="P49" s="12"/>
    </row>
    <row r="50" spans="1:16" ht="37.5" customHeight="1" x14ac:dyDescent="0.25">
      <c r="A50" s="12" t="s">
        <v>548</v>
      </c>
      <c r="B50" s="44" t="s">
        <v>549</v>
      </c>
      <c r="C50" s="34" t="s">
        <v>32</v>
      </c>
      <c r="D50" s="112">
        <v>100</v>
      </c>
      <c r="E50" s="35">
        <v>5000</v>
      </c>
      <c r="F50" s="35">
        <f t="shared" si="10"/>
        <v>500000</v>
      </c>
      <c r="G50" s="35">
        <f t="shared" si="8"/>
        <v>90000</v>
      </c>
      <c r="H50" s="36">
        <f t="shared" si="9"/>
        <v>590000</v>
      </c>
      <c r="I50" s="12">
        <f>20+55+25</f>
        <v>100</v>
      </c>
      <c r="J50" s="12">
        <f t="shared" si="0"/>
        <v>0</v>
      </c>
      <c r="K50" s="35">
        <f t="shared" si="4"/>
        <v>500000</v>
      </c>
      <c r="L50" s="35">
        <f t="shared" si="5"/>
        <v>90000</v>
      </c>
      <c r="M50" s="35">
        <f t="shared" si="6"/>
        <v>50000</v>
      </c>
      <c r="N50" s="36">
        <f t="shared" si="7"/>
        <v>540000</v>
      </c>
      <c r="O50" s="36">
        <f t="shared" si="1"/>
        <v>0</v>
      </c>
      <c r="P50" s="12"/>
    </row>
    <row r="51" spans="1:16" ht="37.5" customHeight="1" x14ac:dyDescent="0.25">
      <c r="A51" s="12" t="s">
        <v>550</v>
      </c>
      <c r="B51" s="44" t="s">
        <v>551</v>
      </c>
      <c r="C51" s="34" t="s">
        <v>32</v>
      </c>
      <c r="D51" s="112">
        <v>100</v>
      </c>
      <c r="E51" s="35">
        <v>5000</v>
      </c>
      <c r="F51" s="35">
        <f t="shared" si="10"/>
        <v>500000</v>
      </c>
      <c r="G51" s="35">
        <f t="shared" si="8"/>
        <v>90000</v>
      </c>
      <c r="H51" s="36">
        <f t="shared" si="9"/>
        <v>590000</v>
      </c>
      <c r="I51" s="12">
        <v>100</v>
      </c>
      <c r="J51" s="12">
        <f t="shared" si="0"/>
        <v>0</v>
      </c>
      <c r="K51" s="35">
        <f t="shared" si="4"/>
        <v>500000</v>
      </c>
      <c r="L51" s="35">
        <f t="shared" si="5"/>
        <v>90000</v>
      </c>
      <c r="M51" s="35">
        <f t="shared" si="6"/>
        <v>50000</v>
      </c>
      <c r="N51" s="36">
        <f t="shared" si="7"/>
        <v>540000</v>
      </c>
      <c r="O51" s="36">
        <f t="shared" si="1"/>
        <v>0</v>
      </c>
      <c r="P51" s="12"/>
    </row>
    <row r="52" spans="1:16" ht="37.5" customHeight="1" x14ac:dyDescent="0.25">
      <c r="A52" s="12" t="s">
        <v>552</v>
      </c>
      <c r="B52" s="44" t="s">
        <v>553</v>
      </c>
      <c r="C52" s="34" t="s">
        <v>32</v>
      </c>
      <c r="D52" s="112">
        <v>100</v>
      </c>
      <c r="E52" s="35">
        <v>5000</v>
      </c>
      <c r="F52" s="35">
        <f t="shared" si="10"/>
        <v>500000</v>
      </c>
      <c r="G52" s="35">
        <f t="shared" si="8"/>
        <v>90000</v>
      </c>
      <c r="H52" s="36">
        <f t="shared" si="9"/>
        <v>590000</v>
      </c>
      <c r="I52" s="12">
        <f>30+70</f>
        <v>100</v>
      </c>
      <c r="J52" s="12">
        <f t="shared" si="0"/>
        <v>0</v>
      </c>
      <c r="K52" s="35">
        <f t="shared" si="4"/>
        <v>500000</v>
      </c>
      <c r="L52" s="35">
        <f t="shared" si="5"/>
        <v>90000</v>
      </c>
      <c r="M52" s="35">
        <f t="shared" si="6"/>
        <v>50000</v>
      </c>
      <c r="N52" s="36">
        <f t="shared" si="7"/>
        <v>540000</v>
      </c>
      <c r="O52" s="36">
        <f t="shared" si="1"/>
        <v>0</v>
      </c>
      <c r="P52" s="12"/>
    </row>
    <row r="53" spans="1:16" ht="37.5" customHeight="1" x14ac:dyDescent="0.25">
      <c r="A53" s="12" t="s">
        <v>554</v>
      </c>
      <c r="B53" s="44" t="s">
        <v>555</v>
      </c>
      <c r="C53" s="34" t="s">
        <v>32</v>
      </c>
      <c r="D53" s="112">
        <v>100</v>
      </c>
      <c r="E53" s="35">
        <v>5000</v>
      </c>
      <c r="F53" s="35">
        <f t="shared" si="10"/>
        <v>500000</v>
      </c>
      <c r="G53" s="35">
        <f t="shared" si="8"/>
        <v>90000</v>
      </c>
      <c r="H53" s="36">
        <f t="shared" si="9"/>
        <v>590000</v>
      </c>
      <c r="I53" s="12">
        <f>25+75</f>
        <v>100</v>
      </c>
      <c r="J53" s="12">
        <f t="shared" si="0"/>
        <v>0</v>
      </c>
      <c r="K53" s="35">
        <f t="shared" si="4"/>
        <v>500000</v>
      </c>
      <c r="L53" s="35">
        <f t="shared" si="5"/>
        <v>90000</v>
      </c>
      <c r="M53" s="35">
        <f t="shared" si="6"/>
        <v>50000</v>
      </c>
      <c r="N53" s="36">
        <f t="shared" si="7"/>
        <v>540000</v>
      </c>
      <c r="O53" s="36">
        <f t="shared" si="1"/>
        <v>0</v>
      </c>
      <c r="P53" s="12"/>
    </row>
    <row r="54" spans="1:16" ht="37.5" customHeight="1" x14ac:dyDescent="0.25">
      <c r="A54" s="12" t="s">
        <v>556</v>
      </c>
      <c r="B54" s="44" t="s">
        <v>557</v>
      </c>
      <c r="C54" s="34" t="s">
        <v>32</v>
      </c>
      <c r="D54" s="112">
        <v>100</v>
      </c>
      <c r="E54" s="35">
        <v>5000</v>
      </c>
      <c r="F54" s="35">
        <f t="shared" si="10"/>
        <v>500000</v>
      </c>
      <c r="G54" s="35">
        <f t="shared" si="8"/>
        <v>90000</v>
      </c>
      <c r="H54" s="36">
        <f t="shared" si="9"/>
        <v>590000</v>
      </c>
      <c r="I54" s="12">
        <f>39+11+25+25</f>
        <v>100</v>
      </c>
      <c r="J54" s="12">
        <f t="shared" si="0"/>
        <v>0</v>
      </c>
      <c r="K54" s="35">
        <f t="shared" si="4"/>
        <v>500000</v>
      </c>
      <c r="L54" s="35">
        <f t="shared" si="5"/>
        <v>90000</v>
      </c>
      <c r="M54" s="35">
        <f t="shared" si="6"/>
        <v>50000</v>
      </c>
      <c r="N54" s="36">
        <f t="shared" si="7"/>
        <v>540000</v>
      </c>
      <c r="O54" s="36">
        <f t="shared" si="1"/>
        <v>0</v>
      </c>
      <c r="P54" s="12"/>
    </row>
    <row r="55" spans="1:16" ht="37.5" customHeight="1" x14ac:dyDescent="0.25">
      <c r="A55" s="12" t="s">
        <v>558</v>
      </c>
      <c r="B55" s="44" t="s">
        <v>559</v>
      </c>
      <c r="C55" s="34" t="s">
        <v>32</v>
      </c>
      <c r="D55" s="112">
        <v>100</v>
      </c>
      <c r="E55" s="35">
        <v>5000</v>
      </c>
      <c r="F55" s="35">
        <f t="shared" si="10"/>
        <v>500000</v>
      </c>
      <c r="G55" s="35">
        <f t="shared" si="8"/>
        <v>90000</v>
      </c>
      <c r="H55" s="36">
        <f t="shared" si="9"/>
        <v>590000</v>
      </c>
      <c r="I55" s="12">
        <f>53+12+10+15+10</f>
        <v>100</v>
      </c>
      <c r="J55" s="12">
        <f t="shared" si="0"/>
        <v>0</v>
      </c>
      <c r="K55" s="35">
        <f t="shared" si="4"/>
        <v>500000</v>
      </c>
      <c r="L55" s="35">
        <f t="shared" si="5"/>
        <v>90000</v>
      </c>
      <c r="M55" s="35">
        <f t="shared" si="6"/>
        <v>50000</v>
      </c>
      <c r="N55" s="36">
        <f t="shared" si="7"/>
        <v>540000</v>
      </c>
      <c r="O55" s="36">
        <f t="shared" si="1"/>
        <v>0</v>
      </c>
      <c r="P55" s="12"/>
    </row>
    <row r="56" spans="1:16" ht="37.5" customHeight="1" x14ac:dyDescent="0.25">
      <c r="A56" s="12" t="s">
        <v>560</v>
      </c>
      <c r="B56" s="44" t="s">
        <v>561</v>
      </c>
      <c r="C56" s="34" t="s">
        <v>32</v>
      </c>
      <c r="D56" s="112">
        <v>100</v>
      </c>
      <c r="E56" s="35">
        <v>2500</v>
      </c>
      <c r="F56" s="35">
        <f t="shared" si="10"/>
        <v>250000</v>
      </c>
      <c r="G56" s="35">
        <f t="shared" si="8"/>
        <v>45000</v>
      </c>
      <c r="H56" s="36">
        <f t="shared" si="9"/>
        <v>295000</v>
      </c>
      <c r="I56" s="12">
        <f>42+8+50</f>
        <v>100</v>
      </c>
      <c r="J56" s="12">
        <f t="shared" si="0"/>
        <v>0</v>
      </c>
      <c r="K56" s="35">
        <f t="shared" si="4"/>
        <v>250000</v>
      </c>
      <c r="L56" s="35">
        <f t="shared" si="5"/>
        <v>45000</v>
      </c>
      <c r="M56" s="35">
        <f t="shared" si="6"/>
        <v>25000</v>
      </c>
      <c r="N56" s="36">
        <f t="shared" si="7"/>
        <v>270000</v>
      </c>
      <c r="O56" s="36">
        <f t="shared" si="1"/>
        <v>0</v>
      </c>
      <c r="P56" s="12"/>
    </row>
    <row r="57" spans="1:16" ht="37.5" customHeight="1" x14ac:dyDescent="0.25">
      <c r="A57" s="12" t="s">
        <v>562</v>
      </c>
      <c r="B57" s="44" t="s">
        <v>563</v>
      </c>
      <c r="C57" s="34" t="s">
        <v>32</v>
      </c>
      <c r="D57" s="112">
        <v>100</v>
      </c>
      <c r="E57" s="35">
        <v>2500</v>
      </c>
      <c r="F57" s="35">
        <f t="shared" si="10"/>
        <v>250000</v>
      </c>
      <c r="G57" s="35">
        <f t="shared" si="8"/>
        <v>45000</v>
      </c>
      <c r="H57" s="36">
        <f t="shared" si="9"/>
        <v>295000</v>
      </c>
      <c r="I57" s="12">
        <f>15+75+10</f>
        <v>100</v>
      </c>
      <c r="J57" s="12">
        <f t="shared" si="0"/>
        <v>0</v>
      </c>
      <c r="K57" s="35">
        <f t="shared" si="4"/>
        <v>250000</v>
      </c>
      <c r="L57" s="35">
        <f t="shared" si="5"/>
        <v>45000</v>
      </c>
      <c r="M57" s="35">
        <f t="shared" si="6"/>
        <v>25000</v>
      </c>
      <c r="N57" s="36">
        <f t="shared" si="7"/>
        <v>270000</v>
      </c>
      <c r="O57" s="36">
        <f>J57*E57</f>
        <v>0</v>
      </c>
      <c r="P57" s="12"/>
    </row>
    <row r="58" spans="1:16" ht="37.5" customHeight="1" x14ac:dyDescent="0.25">
      <c r="A58" s="12" t="s">
        <v>110</v>
      </c>
      <c r="B58" s="46" t="s">
        <v>564</v>
      </c>
      <c r="C58" s="12"/>
      <c r="D58" s="34"/>
      <c r="E58" s="35"/>
      <c r="F58" s="35"/>
      <c r="G58" s="35"/>
      <c r="H58" s="36"/>
      <c r="I58" s="12"/>
      <c r="J58" s="12">
        <f t="shared" si="0"/>
        <v>0</v>
      </c>
      <c r="K58" s="35"/>
      <c r="L58" s="35"/>
      <c r="M58" s="35"/>
      <c r="N58" s="36"/>
      <c r="O58" s="36">
        <f t="shared" si="1"/>
        <v>0</v>
      </c>
      <c r="P58" s="12"/>
    </row>
    <row r="59" spans="1:16" ht="37.5" customHeight="1" x14ac:dyDescent="0.25">
      <c r="A59" s="12" t="s">
        <v>353</v>
      </c>
      <c r="B59" s="44" t="s">
        <v>520</v>
      </c>
      <c r="C59" s="12"/>
      <c r="D59" s="34"/>
      <c r="E59" s="35"/>
      <c r="F59" s="35"/>
      <c r="G59" s="35"/>
      <c r="H59" s="36"/>
      <c r="I59" s="12"/>
      <c r="J59" s="12">
        <f t="shared" si="0"/>
        <v>0</v>
      </c>
      <c r="K59" s="35"/>
      <c r="L59" s="35"/>
      <c r="M59" s="35"/>
      <c r="N59" s="36"/>
      <c r="O59" s="36">
        <f t="shared" si="1"/>
        <v>0</v>
      </c>
      <c r="P59" s="12"/>
    </row>
    <row r="60" spans="1:16" ht="37.5" customHeight="1" x14ac:dyDescent="0.25">
      <c r="A60" s="12" t="s">
        <v>565</v>
      </c>
      <c r="B60" s="44" t="s">
        <v>522</v>
      </c>
      <c r="C60" s="12" t="s">
        <v>32</v>
      </c>
      <c r="D60" s="34">
        <v>100</v>
      </c>
      <c r="E60" s="35">
        <v>32000</v>
      </c>
      <c r="F60" s="35">
        <f>E60*D60</f>
        <v>3200000</v>
      </c>
      <c r="G60" s="35">
        <f>F60*18%</f>
        <v>576000</v>
      </c>
      <c r="H60" s="36">
        <f>F60+G60</f>
        <v>3776000</v>
      </c>
      <c r="I60" s="12">
        <f>34.4+1.2+11.57+19.6+13.6+10.23+9.4</f>
        <v>100.00000000000001</v>
      </c>
      <c r="J60" s="12">
        <f t="shared" si="0"/>
        <v>0</v>
      </c>
      <c r="K60" s="35">
        <f>E60*I60</f>
        <v>3200000.0000000005</v>
      </c>
      <c r="L60" s="35">
        <f>K60*18%</f>
        <v>576000.00000000012</v>
      </c>
      <c r="M60" s="35">
        <f>K60*10%</f>
        <v>320000.00000000006</v>
      </c>
      <c r="N60" s="36">
        <f>SUM(K60:L60)-M60</f>
        <v>3456000.0000000005</v>
      </c>
      <c r="O60" s="36">
        <f t="shared" si="1"/>
        <v>0</v>
      </c>
      <c r="P60" s="12"/>
    </row>
    <row r="61" spans="1:16" ht="37.5" customHeight="1" x14ac:dyDescent="0.25">
      <c r="A61" s="12" t="s">
        <v>566</v>
      </c>
      <c r="B61" s="44" t="s">
        <v>524</v>
      </c>
      <c r="C61" s="12" t="s">
        <v>32</v>
      </c>
      <c r="D61" s="34">
        <v>100</v>
      </c>
      <c r="E61" s="35">
        <v>32000</v>
      </c>
      <c r="F61" s="35">
        <f>E61*D61</f>
        <v>3200000</v>
      </c>
      <c r="G61" s="35">
        <f>F61*18%</f>
        <v>576000</v>
      </c>
      <c r="H61" s="36">
        <f>F61+G61</f>
        <v>3776000</v>
      </c>
      <c r="I61" s="12">
        <f>11.9+7.6+11.3+16.2+11.9+27+7+3+4+0.1</f>
        <v>100</v>
      </c>
      <c r="J61" s="12">
        <f t="shared" ref="J61:J122" si="11">D61-I61</f>
        <v>0</v>
      </c>
      <c r="K61" s="35">
        <f>E61*I61</f>
        <v>3200000</v>
      </c>
      <c r="L61" s="35">
        <f>K61*18%</f>
        <v>576000</v>
      </c>
      <c r="M61" s="35">
        <f>K61*10%</f>
        <v>320000</v>
      </c>
      <c r="N61" s="36">
        <f>SUM(K61:L61)-M61</f>
        <v>3456000</v>
      </c>
      <c r="O61" s="36">
        <f t="shared" ref="O61:O122" si="12">J61*E61</f>
        <v>0</v>
      </c>
      <c r="P61" s="12"/>
    </row>
    <row r="62" spans="1:16" ht="37.5" customHeight="1" x14ac:dyDescent="0.25">
      <c r="A62" s="12" t="s">
        <v>354</v>
      </c>
      <c r="B62" s="44" t="s">
        <v>526</v>
      </c>
      <c r="C62" s="12"/>
      <c r="D62" s="34"/>
      <c r="E62" s="35"/>
      <c r="F62" s="35"/>
      <c r="G62" s="35"/>
      <c r="H62" s="36"/>
      <c r="I62" s="12"/>
      <c r="J62" s="12">
        <f t="shared" si="11"/>
        <v>0</v>
      </c>
      <c r="K62" s="35"/>
      <c r="L62" s="35"/>
      <c r="M62" s="35"/>
      <c r="N62" s="36"/>
      <c r="O62" s="36">
        <f t="shared" si="12"/>
        <v>0</v>
      </c>
      <c r="P62" s="12"/>
    </row>
    <row r="63" spans="1:16" ht="37.5" customHeight="1" x14ac:dyDescent="0.25">
      <c r="A63" s="12" t="s">
        <v>567</v>
      </c>
      <c r="B63" s="44" t="s">
        <v>528</v>
      </c>
      <c r="C63" s="12" t="s">
        <v>32</v>
      </c>
      <c r="D63" s="34">
        <v>100</v>
      </c>
      <c r="E63" s="35">
        <v>100000</v>
      </c>
      <c r="F63" s="35">
        <f t="shared" ref="F63:F68" si="13">E63*D63</f>
        <v>10000000</v>
      </c>
      <c r="G63" s="35">
        <f t="shared" ref="G63:G68" si="14">F63*18%</f>
        <v>1800000</v>
      </c>
      <c r="H63" s="36">
        <f t="shared" ref="H63:H68" si="15">F63+G63</f>
        <v>11800000</v>
      </c>
      <c r="I63" s="12">
        <f>37.5+1.35+11.15+18.8+11.2+10.5+8.2+1.3</f>
        <v>100</v>
      </c>
      <c r="J63" s="12">
        <f t="shared" si="11"/>
        <v>0</v>
      </c>
      <c r="K63" s="35">
        <f t="shared" ref="K63:K68" si="16">E63*I63</f>
        <v>10000000</v>
      </c>
      <c r="L63" s="35">
        <f t="shared" ref="L63:L68" si="17">K63*18%</f>
        <v>1800000</v>
      </c>
      <c r="M63" s="35">
        <f t="shared" ref="M63:M68" si="18">K63*10%</f>
        <v>1000000</v>
      </c>
      <c r="N63" s="36">
        <f t="shared" ref="N63:N68" si="19">SUM(K63:L63)-M63</f>
        <v>10800000</v>
      </c>
      <c r="O63" s="36">
        <f t="shared" si="12"/>
        <v>0</v>
      </c>
      <c r="P63" s="12"/>
    </row>
    <row r="64" spans="1:16" ht="37.5" customHeight="1" x14ac:dyDescent="0.25">
      <c r="A64" s="12" t="s">
        <v>568</v>
      </c>
      <c r="B64" s="44" t="s">
        <v>569</v>
      </c>
      <c r="C64" s="12" t="s">
        <v>32</v>
      </c>
      <c r="D64" s="34">
        <v>100</v>
      </c>
      <c r="E64" s="35">
        <v>40000</v>
      </c>
      <c r="F64" s="35">
        <f t="shared" si="13"/>
        <v>4000000</v>
      </c>
      <c r="G64" s="35">
        <f t="shared" si="14"/>
        <v>720000</v>
      </c>
      <c r="H64" s="36">
        <f t="shared" si="15"/>
        <v>4720000</v>
      </c>
      <c r="I64" s="12">
        <f>25.7+2.3+10.2+15.8+22+13.6+8.1+2.3</f>
        <v>99.999999999999986</v>
      </c>
      <c r="J64" s="12">
        <f t="shared" si="11"/>
        <v>0</v>
      </c>
      <c r="K64" s="35">
        <f t="shared" si="16"/>
        <v>3999999.9999999995</v>
      </c>
      <c r="L64" s="35">
        <f t="shared" si="17"/>
        <v>719999.99999999988</v>
      </c>
      <c r="M64" s="35">
        <f t="shared" si="18"/>
        <v>400000</v>
      </c>
      <c r="N64" s="36">
        <f t="shared" si="19"/>
        <v>4319999.9999999991</v>
      </c>
      <c r="O64" s="36">
        <f t="shared" si="12"/>
        <v>0</v>
      </c>
      <c r="P64" s="12"/>
    </row>
    <row r="65" spans="1:16" ht="45" customHeight="1" x14ac:dyDescent="0.25">
      <c r="A65" s="12" t="s">
        <v>570</v>
      </c>
      <c r="B65" s="44" t="s">
        <v>571</v>
      </c>
      <c r="C65" s="12" t="s">
        <v>32</v>
      </c>
      <c r="D65" s="34">
        <v>100</v>
      </c>
      <c r="E65" s="35">
        <v>40000</v>
      </c>
      <c r="F65" s="35">
        <f t="shared" si="13"/>
        <v>4000000</v>
      </c>
      <c r="G65" s="35">
        <f t="shared" si="14"/>
        <v>720000</v>
      </c>
      <c r="H65" s="36">
        <f t="shared" si="15"/>
        <v>4720000</v>
      </c>
      <c r="I65" s="12">
        <f>21.2+6.4+5.4+8.9+9.6+28.2+16.6+1.4+1.3+0.5+0.5</f>
        <v>100.00000000000001</v>
      </c>
      <c r="J65" s="12">
        <f t="shared" si="11"/>
        <v>0</v>
      </c>
      <c r="K65" s="35">
        <f t="shared" si="16"/>
        <v>4000000.0000000005</v>
      </c>
      <c r="L65" s="35">
        <f t="shared" si="17"/>
        <v>720000</v>
      </c>
      <c r="M65" s="35">
        <f t="shared" si="18"/>
        <v>400000.00000000006</v>
      </c>
      <c r="N65" s="36">
        <f t="shared" si="19"/>
        <v>4320000</v>
      </c>
      <c r="O65" s="36">
        <f t="shared" si="12"/>
        <v>0</v>
      </c>
      <c r="P65" s="12"/>
    </row>
    <row r="66" spans="1:16" ht="37.5" customHeight="1" x14ac:dyDescent="0.25">
      <c r="A66" s="12" t="s">
        <v>572</v>
      </c>
      <c r="B66" s="44" t="s">
        <v>573</v>
      </c>
      <c r="C66" s="12" t="s">
        <v>32</v>
      </c>
      <c r="D66" s="34">
        <v>100</v>
      </c>
      <c r="E66" s="35">
        <v>80000</v>
      </c>
      <c r="F66" s="35">
        <f t="shared" si="13"/>
        <v>8000000</v>
      </c>
      <c r="G66" s="35">
        <f t="shared" si="14"/>
        <v>1440000</v>
      </c>
      <c r="H66" s="36">
        <f t="shared" si="15"/>
        <v>9440000</v>
      </c>
      <c r="I66" s="12">
        <f>9.5+49.5+15+16+6+2+2</f>
        <v>100</v>
      </c>
      <c r="J66" s="12">
        <f t="shared" si="11"/>
        <v>0</v>
      </c>
      <c r="K66" s="35">
        <f t="shared" si="16"/>
        <v>8000000</v>
      </c>
      <c r="L66" s="35">
        <f t="shared" si="17"/>
        <v>1440000</v>
      </c>
      <c r="M66" s="35">
        <f t="shared" si="18"/>
        <v>800000</v>
      </c>
      <c r="N66" s="36">
        <f t="shared" si="19"/>
        <v>8640000</v>
      </c>
      <c r="O66" s="36">
        <f t="shared" si="12"/>
        <v>0</v>
      </c>
      <c r="P66" s="12"/>
    </row>
    <row r="67" spans="1:16" ht="37.5" customHeight="1" x14ac:dyDescent="0.25">
      <c r="A67" s="12" t="s">
        <v>574</v>
      </c>
      <c r="B67" s="44" t="s">
        <v>386</v>
      </c>
      <c r="C67" s="12" t="s">
        <v>32</v>
      </c>
      <c r="D67" s="34">
        <v>100</v>
      </c>
      <c r="E67" s="35">
        <v>56000</v>
      </c>
      <c r="F67" s="35">
        <f t="shared" si="13"/>
        <v>5600000</v>
      </c>
      <c r="G67" s="35">
        <f t="shared" si="14"/>
        <v>1008000</v>
      </c>
      <c r="H67" s="36">
        <f t="shared" si="15"/>
        <v>6608000</v>
      </c>
      <c r="I67" s="12">
        <f>15+50+35</f>
        <v>100</v>
      </c>
      <c r="J67" s="12">
        <f t="shared" si="11"/>
        <v>0</v>
      </c>
      <c r="K67" s="35">
        <f t="shared" si="16"/>
        <v>5600000</v>
      </c>
      <c r="L67" s="35">
        <f t="shared" si="17"/>
        <v>1008000</v>
      </c>
      <c r="M67" s="35">
        <f t="shared" si="18"/>
        <v>560000</v>
      </c>
      <c r="N67" s="36">
        <f t="shared" si="19"/>
        <v>6048000</v>
      </c>
      <c r="O67" s="36">
        <f t="shared" si="12"/>
        <v>0</v>
      </c>
      <c r="P67" s="12"/>
    </row>
    <row r="68" spans="1:16" ht="37.5" customHeight="1" x14ac:dyDescent="0.25">
      <c r="A68" s="12" t="s">
        <v>575</v>
      </c>
      <c r="B68" s="44" t="s">
        <v>576</v>
      </c>
      <c r="C68" s="12" t="s">
        <v>32</v>
      </c>
      <c r="D68" s="34">
        <v>100</v>
      </c>
      <c r="E68" s="35">
        <v>20000</v>
      </c>
      <c r="F68" s="35">
        <f t="shared" si="13"/>
        <v>2000000</v>
      </c>
      <c r="G68" s="35">
        <f t="shared" si="14"/>
        <v>360000</v>
      </c>
      <c r="H68" s="36">
        <f t="shared" si="15"/>
        <v>2360000</v>
      </c>
      <c r="I68" s="12">
        <f>31.8+23.2+12.3+22.4+4.6+5.6+0.1</f>
        <v>99.999999999999972</v>
      </c>
      <c r="J68" s="12">
        <f t="shared" si="11"/>
        <v>0</v>
      </c>
      <c r="K68" s="35">
        <f t="shared" si="16"/>
        <v>1999999.9999999995</v>
      </c>
      <c r="L68" s="35">
        <f t="shared" si="17"/>
        <v>359999.99999999988</v>
      </c>
      <c r="M68" s="35">
        <f t="shared" si="18"/>
        <v>199999.99999999997</v>
      </c>
      <c r="N68" s="36">
        <f t="shared" si="19"/>
        <v>2159999.9999999995</v>
      </c>
      <c r="O68" s="36">
        <f t="shared" si="12"/>
        <v>0</v>
      </c>
      <c r="P68" s="12"/>
    </row>
    <row r="69" spans="1:16" ht="37.5" customHeight="1" x14ac:dyDescent="0.25">
      <c r="A69" s="12" t="s">
        <v>126</v>
      </c>
      <c r="B69" s="46" t="s">
        <v>266</v>
      </c>
      <c r="C69" s="12"/>
      <c r="D69" s="34"/>
      <c r="E69" s="35"/>
      <c r="F69" s="35"/>
      <c r="G69" s="35"/>
      <c r="H69" s="36"/>
      <c r="I69" s="12"/>
      <c r="J69" s="12">
        <f t="shared" si="11"/>
        <v>0</v>
      </c>
      <c r="K69" s="35"/>
      <c r="L69" s="35"/>
      <c r="M69" s="35"/>
      <c r="N69" s="36"/>
      <c r="O69" s="36">
        <f t="shared" si="12"/>
        <v>0</v>
      </c>
      <c r="P69" s="12"/>
    </row>
    <row r="70" spans="1:16" ht="37.5" customHeight="1" x14ac:dyDescent="0.25">
      <c r="A70" s="12" t="s">
        <v>577</v>
      </c>
      <c r="B70" s="44" t="s">
        <v>520</v>
      </c>
      <c r="C70" s="129"/>
      <c r="D70" s="130"/>
      <c r="E70" s="131"/>
      <c r="F70" s="35"/>
      <c r="G70" s="35"/>
      <c r="H70" s="36"/>
      <c r="I70" s="12"/>
      <c r="J70" s="12">
        <f t="shared" si="11"/>
        <v>0</v>
      </c>
      <c r="K70" s="35"/>
      <c r="L70" s="35"/>
      <c r="M70" s="35"/>
      <c r="N70" s="36"/>
      <c r="O70" s="36">
        <f t="shared" si="12"/>
        <v>0</v>
      </c>
      <c r="P70" s="12"/>
    </row>
    <row r="71" spans="1:16" ht="37.5" customHeight="1" x14ac:dyDescent="0.25">
      <c r="A71" s="12" t="s">
        <v>578</v>
      </c>
      <c r="B71" s="44" t="s">
        <v>579</v>
      </c>
      <c r="C71" s="12" t="s">
        <v>32</v>
      </c>
      <c r="D71" s="34">
        <v>100</v>
      </c>
      <c r="E71" s="35">
        <v>8800</v>
      </c>
      <c r="F71" s="35">
        <f>E71*D71</f>
        <v>880000</v>
      </c>
      <c r="G71" s="35">
        <f>F71*18%</f>
        <v>158400</v>
      </c>
      <c r="H71" s="36">
        <f>F71+G71</f>
        <v>1038400</v>
      </c>
      <c r="I71" s="12">
        <v>100</v>
      </c>
      <c r="J71" s="12">
        <f t="shared" si="11"/>
        <v>0</v>
      </c>
      <c r="K71" s="35">
        <f>E71*I71</f>
        <v>880000</v>
      </c>
      <c r="L71" s="35">
        <f>K71*18%</f>
        <v>158400</v>
      </c>
      <c r="M71" s="35">
        <f>K71*10%</f>
        <v>88000</v>
      </c>
      <c r="N71" s="36">
        <f>SUM(K71:L71)-M71</f>
        <v>950400</v>
      </c>
      <c r="O71" s="36">
        <f t="shared" si="12"/>
        <v>0</v>
      </c>
      <c r="P71" s="12"/>
    </row>
    <row r="72" spans="1:16" ht="37.5" customHeight="1" x14ac:dyDescent="0.25">
      <c r="A72" s="12" t="s">
        <v>580</v>
      </c>
      <c r="B72" s="44" t="s">
        <v>526</v>
      </c>
      <c r="C72" s="12"/>
      <c r="D72" s="34"/>
      <c r="E72" s="35"/>
      <c r="F72" s="35"/>
      <c r="G72" s="35"/>
      <c r="H72" s="36"/>
      <c r="I72" s="12"/>
      <c r="J72" s="12">
        <f t="shared" si="11"/>
        <v>0</v>
      </c>
      <c r="K72" s="35"/>
      <c r="L72" s="35"/>
      <c r="M72" s="35"/>
      <c r="N72" s="36"/>
      <c r="O72" s="36">
        <f t="shared" si="12"/>
        <v>0</v>
      </c>
      <c r="P72" s="12"/>
    </row>
    <row r="73" spans="1:16" ht="37.5" customHeight="1" x14ac:dyDescent="0.25">
      <c r="A73" s="12" t="s">
        <v>581</v>
      </c>
      <c r="B73" s="44" t="s">
        <v>380</v>
      </c>
      <c r="C73" s="12" t="s">
        <v>32</v>
      </c>
      <c r="D73" s="34">
        <v>100</v>
      </c>
      <c r="E73" s="35">
        <v>26400</v>
      </c>
      <c r="F73" s="35">
        <f>E73*D73</f>
        <v>2640000</v>
      </c>
      <c r="G73" s="35">
        <f>F73*18%</f>
        <v>475200</v>
      </c>
      <c r="H73" s="36">
        <f>F73+G73</f>
        <v>3115200</v>
      </c>
      <c r="I73" s="12">
        <f>53.9+46.1</f>
        <v>100</v>
      </c>
      <c r="J73" s="12">
        <f t="shared" si="11"/>
        <v>0</v>
      </c>
      <c r="K73" s="35">
        <f>E73*I73</f>
        <v>2640000</v>
      </c>
      <c r="L73" s="35">
        <f>K73*18%</f>
        <v>475200</v>
      </c>
      <c r="M73" s="35">
        <f>K73*10%</f>
        <v>264000</v>
      </c>
      <c r="N73" s="36">
        <f>SUM(K73:L73)-M73</f>
        <v>2851200</v>
      </c>
      <c r="O73" s="36">
        <f t="shared" si="12"/>
        <v>0</v>
      </c>
      <c r="P73" s="12"/>
    </row>
    <row r="74" spans="1:16" ht="37.5" customHeight="1" x14ac:dyDescent="0.25">
      <c r="A74" s="12" t="s">
        <v>582</v>
      </c>
      <c r="B74" s="44" t="s">
        <v>271</v>
      </c>
      <c r="C74" s="12" t="s">
        <v>32</v>
      </c>
      <c r="D74" s="34">
        <v>100</v>
      </c>
      <c r="E74" s="35">
        <v>17600</v>
      </c>
      <c r="F74" s="35">
        <f>E74*D74</f>
        <v>1760000</v>
      </c>
      <c r="G74" s="35">
        <f>F74*18%</f>
        <v>316800</v>
      </c>
      <c r="H74" s="36">
        <f>F74+G74</f>
        <v>2076800</v>
      </c>
      <c r="I74" s="12">
        <f>24.5+75.5</f>
        <v>100</v>
      </c>
      <c r="J74" s="12">
        <f t="shared" si="11"/>
        <v>0</v>
      </c>
      <c r="K74" s="35">
        <f>E74*I74</f>
        <v>1760000</v>
      </c>
      <c r="L74" s="35">
        <f>K74*18%</f>
        <v>316800</v>
      </c>
      <c r="M74" s="35">
        <f>K74*10%</f>
        <v>176000</v>
      </c>
      <c r="N74" s="36">
        <f>SUM(K74:L74)-M74</f>
        <v>1900800</v>
      </c>
      <c r="O74" s="36">
        <f t="shared" si="12"/>
        <v>0</v>
      </c>
      <c r="P74" s="12"/>
    </row>
    <row r="75" spans="1:16" ht="37.5" customHeight="1" x14ac:dyDescent="0.25">
      <c r="A75" s="12" t="s">
        <v>583</v>
      </c>
      <c r="B75" s="44" t="s">
        <v>273</v>
      </c>
      <c r="C75" s="12" t="s">
        <v>32</v>
      </c>
      <c r="D75" s="34">
        <v>100</v>
      </c>
      <c r="E75" s="35">
        <v>13200</v>
      </c>
      <c r="F75" s="35">
        <f>E75*D75</f>
        <v>1320000</v>
      </c>
      <c r="G75" s="35">
        <f>F75*18%</f>
        <v>237600</v>
      </c>
      <c r="H75" s="36">
        <f>F75+G75</f>
        <v>1557600</v>
      </c>
      <c r="I75" s="12">
        <f>73+6.8+20.2</f>
        <v>100</v>
      </c>
      <c r="J75" s="12">
        <f t="shared" si="11"/>
        <v>0</v>
      </c>
      <c r="K75" s="35">
        <f>E75*I75</f>
        <v>1320000</v>
      </c>
      <c r="L75" s="35">
        <f>K75*18%</f>
        <v>237600</v>
      </c>
      <c r="M75" s="35">
        <f>K75*10%</f>
        <v>132000</v>
      </c>
      <c r="N75" s="36">
        <f>SUM(K75:L75)-M75</f>
        <v>1425600</v>
      </c>
      <c r="O75" s="36">
        <f t="shared" si="12"/>
        <v>0</v>
      </c>
      <c r="P75" s="12"/>
    </row>
    <row r="76" spans="1:16" ht="37.5" customHeight="1" x14ac:dyDescent="0.25">
      <c r="A76" s="12" t="s">
        <v>584</v>
      </c>
      <c r="B76" s="44" t="s">
        <v>386</v>
      </c>
      <c r="C76" s="12" t="s">
        <v>32</v>
      </c>
      <c r="D76" s="34">
        <v>100</v>
      </c>
      <c r="E76" s="35">
        <v>13200</v>
      </c>
      <c r="F76" s="35">
        <f>E76*D76</f>
        <v>1320000</v>
      </c>
      <c r="G76" s="35">
        <f>F76*18%</f>
        <v>237600</v>
      </c>
      <c r="H76" s="36">
        <f>F76+G76</f>
        <v>1557600</v>
      </c>
      <c r="I76" s="12">
        <f>100</f>
        <v>100</v>
      </c>
      <c r="J76" s="12">
        <f t="shared" si="11"/>
        <v>0</v>
      </c>
      <c r="K76" s="35">
        <f>E76*I76</f>
        <v>1320000</v>
      </c>
      <c r="L76" s="35">
        <f>K76*18%</f>
        <v>237600</v>
      </c>
      <c r="M76" s="35">
        <f>K76*10%</f>
        <v>132000</v>
      </c>
      <c r="N76" s="36">
        <f>SUM(K76:L76)-M76</f>
        <v>1425600</v>
      </c>
      <c r="O76" s="36">
        <f>J76*E76</f>
        <v>0</v>
      </c>
      <c r="P76" s="12"/>
    </row>
    <row r="77" spans="1:16" ht="37.5" customHeight="1" x14ac:dyDescent="0.25">
      <c r="A77" s="12" t="s">
        <v>585</v>
      </c>
      <c r="B77" s="44" t="s">
        <v>576</v>
      </c>
      <c r="C77" s="12" t="s">
        <v>32</v>
      </c>
      <c r="D77" s="34">
        <v>100</v>
      </c>
      <c r="E77" s="35">
        <v>8800</v>
      </c>
      <c r="F77" s="35">
        <f>E77*D77</f>
        <v>880000</v>
      </c>
      <c r="G77" s="35">
        <f>F77*18%</f>
        <v>158400</v>
      </c>
      <c r="H77" s="36">
        <f>F77+G77</f>
        <v>1038400</v>
      </c>
      <c r="I77" s="12">
        <f>100</f>
        <v>100</v>
      </c>
      <c r="J77" s="12">
        <f t="shared" si="11"/>
        <v>0</v>
      </c>
      <c r="K77" s="35">
        <f>E77*I77</f>
        <v>880000</v>
      </c>
      <c r="L77" s="35">
        <f>K77*18%</f>
        <v>158400</v>
      </c>
      <c r="M77" s="35">
        <f>K77*10%</f>
        <v>88000</v>
      </c>
      <c r="N77" s="36">
        <f>SUM(K77:L77)-M77</f>
        <v>950400</v>
      </c>
      <c r="O77" s="36">
        <f t="shared" si="12"/>
        <v>0</v>
      </c>
      <c r="P77" s="12"/>
    </row>
    <row r="78" spans="1:16" ht="37.5" customHeight="1" x14ac:dyDescent="0.25">
      <c r="A78" s="12" t="s">
        <v>139</v>
      </c>
      <c r="B78" s="46" t="s">
        <v>586</v>
      </c>
      <c r="C78" s="12"/>
      <c r="D78" s="34"/>
      <c r="E78" s="35"/>
      <c r="F78" s="35"/>
      <c r="G78" s="35"/>
      <c r="H78" s="36"/>
      <c r="I78" s="12"/>
      <c r="J78" s="12">
        <f t="shared" si="11"/>
        <v>0</v>
      </c>
      <c r="K78" s="35"/>
      <c r="L78" s="35"/>
      <c r="M78" s="35"/>
      <c r="N78" s="36"/>
      <c r="O78" s="36">
        <f t="shared" si="12"/>
        <v>0</v>
      </c>
      <c r="P78" s="12"/>
    </row>
    <row r="79" spans="1:16" ht="37.5" customHeight="1" x14ac:dyDescent="0.25">
      <c r="A79" s="12" t="s">
        <v>587</v>
      </c>
      <c r="B79" s="44" t="s">
        <v>520</v>
      </c>
      <c r="C79" s="129"/>
      <c r="D79" s="130"/>
      <c r="E79" s="131"/>
      <c r="F79" s="35"/>
      <c r="G79" s="35"/>
      <c r="H79" s="36"/>
      <c r="I79" s="12"/>
      <c r="J79" s="12">
        <f t="shared" si="11"/>
        <v>0</v>
      </c>
      <c r="K79" s="35"/>
      <c r="L79" s="35"/>
      <c r="M79" s="35"/>
      <c r="N79" s="36"/>
      <c r="O79" s="36">
        <f t="shared" si="12"/>
        <v>0</v>
      </c>
      <c r="P79" s="12"/>
    </row>
    <row r="80" spans="1:16" ht="37.5" customHeight="1" x14ac:dyDescent="0.25">
      <c r="A80" s="12" t="s">
        <v>392</v>
      </c>
      <c r="B80" s="44" t="s">
        <v>579</v>
      </c>
      <c r="C80" s="12" t="s">
        <v>32</v>
      </c>
      <c r="D80" s="34">
        <v>100</v>
      </c>
      <c r="E80" s="35">
        <v>700</v>
      </c>
      <c r="F80" s="35">
        <f>E80*D80</f>
        <v>70000</v>
      </c>
      <c r="G80" s="35">
        <f>F80*18%</f>
        <v>12600</v>
      </c>
      <c r="H80" s="36">
        <f>F80+G80</f>
        <v>82600</v>
      </c>
      <c r="I80" s="12">
        <f>34.8+7.7+42.4+15.1</f>
        <v>100</v>
      </c>
      <c r="J80" s="12">
        <f t="shared" si="11"/>
        <v>0</v>
      </c>
      <c r="K80" s="35">
        <f>E80*I80</f>
        <v>70000</v>
      </c>
      <c r="L80" s="35">
        <f>K80*18%</f>
        <v>12600</v>
      </c>
      <c r="M80" s="35">
        <f>K80*10%</f>
        <v>7000</v>
      </c>
      <c r="N80" s="36">
        <f>SUM(K80:L80)-M80</f>
        <v>75600</v>
      </c>
      <c r="O80" s="36">
        <f t="shared" si="12"/>
        <v>0</v>
      </c>
      <c r="P80" s="12"/>
    </row>
    <row r="81" spans="1:16" ht="37.5" customHeight="1" x14ac:dyDescent="0.25">
      <c r="A81" s="12" t="s">
        <v>588</v>
      </c>
      <c r="B81" s="44" t="s">
        <v>526</v>
      </c>
      <c r="C81" s="12"/>
      <c r="D81" s="34"/>
      <c r="E81" s="35"/>
      <c r="F81" s="35"/>
      <c r="G81" s="35"/>
      <c r="H81" s="36"/>
      <c r="I81" s="12"/>
      <c r="J81" s="12">
        <f t="shared" si="11"/>
        <v>0</v>
      </c>
      <c r="K81" s="35"/>
      <c r="L81" s="35"/>
      <c r="M81" s="35"/>
      <c r="N81" s="36"/>
      <c r="O81" s="36">
        <f t="shared" si="12"/>
        <v>0</v>
      </c>
      <c r="P81" s="12"/>
    </row>
    <row r="82" spans="1:16" ht="37.5" customHeight="1" x14ac:dyDescent="0.25">
      <c r="A82" s="12" t="s">
        <v>589</v>
      </c>
      <c r="B82" s="44" t="s">
        <v>590</v>
      </c>
      <c r="C82" s="12" t="s">
        <v>32</v>
      </c>
      <c r="D82" s="34">
        <v>100</v>
      </c>
      <c r="E82" s="35">
        <v>2100</v>
      </c>
      <c r="F82" s="35">
        <f>E82*D82</f>
        <v>210000</v>
      </c>
      <c r="G82" s="35">
        <f>F82*18%</f>
        <v>37800</v>
      </c>
      <c r="H82" s="36">
        <f>F82+G82</f>
        <v>247800</v>
      </c>
      <c r="I82" s="12">
        <f>40.7+5.4+46+7.9</f>
        <v>100</v>
      </c>
      <c r="J82" s="12">
        <f t="shared" si="11"/>
        <v>0</v>
      </c>
      <c r="K82" s="35">
        <f>E82*I82</f>
        <v>210000</v>
      </c>
      <c r="L82" s="35">
        <f>K82*18%</f>
        <v>37800</v>
      </c>
      <c r="M82" s="35">
        <f>K82*10%</f>
        <v>21000</v>
      </c>
      <c r="N82" s="36">
        <f>SUM(K82:L82)-M82</f>
        <v>226800</v>
      </c>
      <c r="O82" s="36">
        <f t="shared" si="12"/>
        <v>0</v>
      </c>
      <c r="P82" s="12"/>
    </row>
    <row r="83" spans="1:16" ht="37.5" customHeight="1" x14ac:dyDescent="0.25">
      <c r="A83" s="12" t="s">
        <v>591</v>
      </c>
      <c r="B83" s="44" t="s">
        <v>592</v>
      </c>
      <c r="C83" s="12" t="s">
        <v>32</v>
      </c>
      <c r="D83" s="34">
        <v>100</v>
      </c>
      <c r="E83" s="35">
        <v>1750</v>
      </c>
      <c r="F83" s="35">
        <f>E83*D83</f>
        <v>175000</v>
      </c>
      <c r="G83" s="35">
        <f>F83*18%</f>
        <v>31500</v>
      </c>
      <c r="H83" s="36">
        <f>F83+G83</f>
        <v>206500</v>
      </c>
      <c r="I83" s="12">
        <f>35+20+33+12</f>
        <v>100</v>
      </c>
      <c r="J83" s="12">
        <f t="shared" si="11"/>
        <v>0</v>
      </c>
      <c r="K83" s="35">
        <f>E83*I83</f>
        <v>175000</v>
      </c>
      <c r="L83" s="35">
        <f>K83*18%</f>
        <v>31500</v>
      </c>
      <c r="M83" s="35">
        <f>K83*10%</f>
        <v>17500</v>
      </c>
      <c r="N83" s="36">
        <f>SUM(K83:L83)-M83</f>
        <v>189000</v>
      </c>
      <c r="O83" s="36">
        <f t="shared" si="12"/>
        <v>0</v>
      </c>
      <c r="P83" s="12"/>
    </row>
    <row r="84" spans="1:16" ht="37.5" customHeight="1" x14ac:dyDescent="0.25">
      <c r="A84" s="12" t="s">
        <v>593</v>
      </c>
      <c r="B84" s="44" t="s">
        <v>594</v>
      </c>
      <c r="C84" s="12" t="s">
        <v>32</v>
      </c>
      <c r="D84" s="34">
        <v>100</v>
      </c>
      <c r="E84" s="35">
        <v>1400</v>
      </c>
      <c r="F84" s="35">
        <f>E84*D84</f>
        <v>140000</v>
      </c>
      <c r="G84" s="35">
        <f>F84*18%</f>
        <v>25200</v>
      </c>
      <c r="H84" s="36">
        <f>F84+G84</f>
        <v>165200</v>
      </c>
      <c r="I84" s="12">
        <f>50+50</f>
        <v>100</v>
      </c>
      <c r="J84" s="12">
        <f t="shared" si="11"/>
        <v>0</v>
      </c>
      <c r="K84" s="35">
        <f>E84*I84</f>
        <v>140000</v>
      </c>
      <c r="L84" s="35">
        <f>K84*18%</f>
        <v>25200</v>
      </c>
      <c r="M84" s="35">
        <f>K84*10%</f>
        <v>14000</v>
      </c>
      <c r="N84" s="36">
        <f>SUM(K84:L84)-M84</f>
        <v>151200</v>
      </c>
      <c r="O84" s="36">
        <f t="shared" si="12"/>
        <v>0</v>
      </c>
      <c r="P84" s="12"/>
    </row>
    <row r="85" spans="1:16" ht="37.5" customHeight="1" x14ac:dyDescent="0.25">
      <c r="A85" s="12" t="s">
        <v>595</v>
      </c>
      <c r="B85" s="44" t="s">
        <v>596</v>
      </c>
      <c r="C85" s="12" t="s">
        <v>32</v>
      </c>
      <c r="D85" s="34">
        <v>100</v>
      </c>
      <c r="E85" s="35">
        <v>700</v>
      </c>
      <c r="F85" s="35">
        <f>E85*D85</f>
        <v>70000</v>
      </c>
      <c r="G85" s="35">
        <f>F85*18%</f>
        <v>12600</v>
      </c>
      <c r="H85" s="36">
        <f>F85+G85</f>
        <v>82600</v>
      </c>
      <c r="I85" s="12">
        <f>18.8+69+0.5+11.7</f>
        <v>100</v>
      </c>
      <c r="J85" s="12">
        <f t="shared" si="11"/>
        <v>0</v>
      </c>
      <c r="K85" s="35">
        <f>E85*I85</f>
        <v>70000</v>
      </c>
      <c r="L85" s="35">
        <f>K85*18%</f>
        <v>12600</v>
      </c>
      <c r="M85" s="35">
        <f>K85*10%</f>
        <v>7000</v>
      </c>
      <c r="N85" s="36">
        <f>SUM(K85:L85)-M85</f>
        <v>75600</v>
      </c>
      <c r="O85" s="36">
        <f t="shared" si="12"/>
        <v>0</v>
      </c>
      <c r="P85" s="12"/>
    </row>
    <row r="86" spans="1:16" ht="37.5" customHeight="1" x14ac:dyDescent="0.25">
      <c r="A86" s="12" t="s">
        <v>597</v>
      </c>
      <c r="B86" s="44" t="s">
        <v>576</v>
      </c>
      <c r="C86" s="12" t="s">
        <v>32</v>
      </c>
      <c r="D86" s="34">
        <v>100</v>
      </c>
      <c r="E86" s="35">
        <v>350</v>
      </c>
      <c r="F86" s="35">
        <f>E86*D86</f>
        <v>35000</v>
      </c>
      <c r="G86" s="35">
        <f>F86*18%</f>
        <v>6300</v>
      </c>
      <c r="H86" s="36">
        <f>F86+G86</f>
        <v>41300</v>
      </c>
      <c r="I86" s="12">
        <f>50+50</f>
        <v>100</v>
      </c>
      <c r="J86" s="12">
        <f t="shared" si="11"/>
        <v>0</v>
      </c>
      <c r="K86" s="35">
        <f>E86*I86</f>
        <v>35000</v>
      </c>
      <c r="L86" s="35">
        <f>K86*18%</f>
        <v>6300</v>
      </c>
      <c r="M86" s="35">
        <f>K86*10%</f>
        <v>3500</v>
      </c>
      <c r="N86" s="36">
        <f>SUM(K86:L86)-M86</f>
        <v>37800</v>
      </c>
      <c r="O86" s="36">
        <f>J86*E86</f>
        <v>0</v>
      </c>
      <c r="P86" s="12"/>
    </row>
    <row r="87" spans="1:16" ht="37.5" customHeight="1" x14ac:dyDescent="0.25">
      <c r="A87" s="12" t="s">
        <v>145</v>
      </c>
      <c r="B87" s="46" t="s">
        <v>598</v>
      </c>
      <c r="C87" s="12"/>
      <c r="D87" s="34"/>
      <c r="E87" s="35"/>
      <c r="F87" s="35"/>
      <c r="G87" s="35"/>
      <c r="H87" s="36"/>
      <c r="I87" s="12"/>
      <c r="J87" s="12">
        <f t="shared" si="11"/>
        <v>0</v>
      </c>
      <c r="K87" s="35"/>
      <c r="L87" s="35"/>
      <c r="M87" s="35"/>
      <c r="N87" s="36"/>
      <c r="O87" s="36">
        <f t="shared" si="12"/>
        <v>0</v>
      </c>
      <c r="P87" s="12"/>
    </row>
    <row r="88" spans="1:16" ht="37.5" customHeight="1" x14ac:dyDescent="0.25">
      <c r="A88" s="12" t="s">
        <v>599</v>
      </c>
      <c r="B88" s="44" t="s">
        <v>520</v>
      </c>
      <c r="C88" s="12"/>
      <c r="D88" s="34"/>
      <c r="E88" s="35"/>
      <c r="F88" s="35"/>
      <c r="G88" s="35"/>
      <c r="H88" s="36"/>
      <c r="I88" s="12"/>
      <c r="J88" s="12">
        <f t="shared" si="11"/>
        <v>0</v>
      </c>
      <c r="K88" s="35"/>
      <c r="L88" s="35"/>
      <c r="M88" s="35"/>
      <c r="N88" s="36"/>
      <c r="O88" s="36">
        <f t="shared" si="12"/>
        <v>0</v>
      </c>
      <c r="P88" s="12"/>
    </row>
    <row r="89" spans="1:16" ht="37.5" customHeight="1" x14ac:dyDescent="0.25">
      <c r="A89" s="12" t="s">
        <v>600</v>
      </c>
      <c r="B89" s="44" t="s">
        <v>579</v>
      </c>
      <c r="C89" s="12" t="s">
        <v>32</v>
      </c>
      <c r="D89" s="34">
        <v>100</v>
      </c>
      <c r="E89" s="35">
        <v>700</v>
      </c>
      <c r="F89" s="35">
        <f>E89*D89</f>
        <v>70000</v>
      </c>
      <c r="G89" s="35">
        <f>F89*18%</f>
        <v>12600</v>
      </c>
      <c r="H89" s="36">
        <f>F89+G89</f>
        <v>82600</v>
      </c>
      <c r="I89" s="12">
        <f>50+50</f>
        <v>100</v>
      </c>
      <c r="J89" s="12">
        <f t="shared" si="11"/>
        <v>0</v>
      </c>
      <c r="K89" s="35">
        <f>E89*I89</f>
        <v>70000</v>
      </c>
      <c r="L89" s="35">
        <f>K89*18%</f>
        <v>12600</v>
      </c>
      <c r="M89" s="35">
        <f>K89*10%</f>
        <v>7000</v>
      </c>
      <c r="N89" s="36">
        <f>SUM(K89:L89)-M89</f>
        <v>75600</v>
      </c>
      <c r="O89" s="36">
        <f t="shared" si="12"/>
        <v>0</v>
      </c>
      <c r="P89" s="12"/>
    </row>
    <row r="90" spans="1:16" ht="37.5" customHeight="1" x14ac:dyDescent="0.25">
      <c r="A90" s="12" t="s">
        <v>601</v>
      </c>
      <c r="B90" s="44" t="s">
        <v>526</v>
      </c>
      <c r="C90" s="12"/>
      <c r="D90" s="34"/>
      <c r="E90" s="35"/>
      <c r="F90" s="35"/>
      <c r="G90" s="35"/>
      <c r="H90" s="36"/>
      <c r="I90" s="12"/>
      <c r="J90" s="12"/>
      <c r="K90" s="35"/>
      <c r="L90" s="35"/>
      <c r="M90" s="35"/>
      <c r="N90" s="36"/>
      <c r="O90" s="36"/>
      <c r="P90" s="12"/>
    </row>
    <row r="91" spans="1:16" ht="37.5" customHeight="1" x14ac:dyDescent="0.25">
      <c r="A91" s="12" t="s">
        <v>602</v>
      </c>
      <c r="B91" s="44" t="s">
        <v>603</v>
      </c>
      <c r="C91" s="12" t="s">
        <v>32</v>
      </c>
      <c r="D91" s="34">
        <v>100</v>
      </c>
      <c r="E91" s="35">
        <v>2100</v>
      </c>
      <c r="F91" s="35">
        <f>E91*D91</f>
        <v>210000</v>
      </c>
      <c r="G91" s="35">
        <f>F91*18%</f>
        <v>37800</v>
      </c>
      <c r="H91" s="36">
        <f>F91+G91</f>
        <v>247800</v>
      </c>
      <c r="I91" s="12">
        <f>50+50</f>
        <v>100</v>
      </c>
      <c r="J91" s="12">
        <f t="shared" si="11"/>
        <v>0</v>
      </c>
      <c r="K91" s="35">
        <f>E91*I91</f>
        <v>210000</v>
      </c>
      <c r="L91" s="35">
        <f>K91*18%</f>
        <v>37800</v>
      </c>
      <c r="M91" s="35">
        <f>K91*10%</f>
        <v>21000</v>
      </c>
      <c r="N91" s="36">
        <f>SUM(K91:L91)-M91</f>
        <v>226800</v>
      </c>
      <c r="O91" s="36">
        <f t="shared" si="12"/>
        <v>0</v>
      </c>
      <c r="P91" s="12"/>
    </row>
    <row r="92" spans="1:16" ht="37.5" customHeight="1" x14ac:dyDescent="0.25">
      <c r="A92" s="12" t="s">
        <v>604</v>
      </c>
      <c r="B92" s="44" t="s">
        <v>592</v>
      </c>
      <c r="C92" s="12" t="s">
        <v>32</v>
      </c>
      <c r="D92" s="34">
        <v>100</v>
      </c>
      <c r="E92" s="35">
        <v>1750</v>
      </c>
      <c r="F92" s="35">
        <f>E92*D92</f>
        <v>175000</v>
      </c>
      <c r="G92" s="35">
        <f>F92*18%</f>
        <v>31500</v>
      </c>
      <c r="H92" s="36">
        <f>F92+G92</f>
        <v>206500</v>
      </c>
      <c r="I92" s="12">
        <f>50+50</f>
        <v>100</v>
      </c>
      <c r="J92" s="12">
        <f t="shared" si="11"/>
        <v>0</v>
      </c>
      <c r="K92" s="35">
        <f>E92*I92</f>
        <v>175000</v>
      </c>
      <c r="L92" s="35">
        <f>K92*18%</f>
        <v>31500</v>
      </c>
      <c r="M92" s="35">
        <f>K92*10%</f>
        <v>17500</v>
      </c>
      <c r="N92" s="36">
        <f>SUM(K92:L92)-M92</f>
        <v>189000</v>
      </c>
      <c r="O92" s="36">
        <f t="shared" si="12"/>
        <v>0</v>
      </c>
      <c r="P92" s="12"/>
    </row>
    <row r="93" spans="1:16" ht="37.5" customHeight="1" x14ac:dyDescent="0.25">
      <c r="A93" s="12" t="s">
        <v>605</v>
      </c>
      <c r="B93" s="44" t="s">
        <v>594</v>
      </c>
      <c r="C93" s="12" t="s">
        <v>32</v>
      </c>
      <c r="D93" s="34">
        <v>100</v>
      </c>
      <c r="E93" s="35">
        <v>1400</v>
      </c>
      <c r="F93" s="35">
        <f>E93*D93</f>
        <v>140000</v>
      </c>
      <c r="G93" s="35">
        <f>F93*18%</f>
        <v>25200</v>
      </c>
      <c r="H93" s="36">
        <f>F93+G93</f>
        <v>165200</v>
      </c>
      <c r="I93" s="12">
        <f>50+50</f>
        <v>100</v>
      </c>
      <c r="J93" s="12">
        <f t="shared" si="11"/>
        <v>0</v>
      </c>
      <c r="K93" s="35">
        <f>E93*I93</f>
        <v>140000</v>
      </c>
      <c r="L93" s="35">
        <f>K93*18%</f>
        <v>25200</v>
      </c>
      <c r="M93" s="35">
        <f>K93*10%</f>
        <v>14000</v>
      </c>
      <c r="N93" s="36">
        <f>SUM(K93:L93)-M93</f>
        <v>151200</v>
      </c>
      <c r="O93" s="36">
        <f t="shared" si="12"/>
        <v>0</v>
      </c>
      <c r="P93" s="12"/>
    </row>
    <row r="94" spans="1:16" ht="37.5" customHeight="1" x14ac:dyDescent="0.25">
      <c r="A94" s="12" t="s">
        <v>606</v>
      </c>
      <c r="B94" s="44" t="s">
        <v>607</v>
      </c>
      <c r="C94" s="12" t="s">
        <v>32</v>
      </c>
      <c r="D94" s="34">
        <v>100</v>
      </c>
      <c r="E94" s="35">
        <v>700</v>
      </c>
      <c r="F94" s="35">
        <f>E94*D94</f>
        <v>70000</v>
      </c>
      <c r="G94" s="35">
        <f>F94*18%</f>
        <v>12600</v>
      </c>
      <c r="H94" s="36">
        <f>F94+G94</f>
        <v>82600</v>
      </c>
      <c r="I94" s="12">
        <f>50+50</f>
        <v>100</v>
      </c>
      <c r="J94" s="12">
        <f t="shared" si="11"/>
        <v>0</v>
      </c>
      <c r="K94" s="35">
        <f>E94*I94</f>
        <v>70000</v>
      </c>
      <c r="L94" s="35">
        <f>K94*18%</f>
        <v>12600</v>
      </c>
      <c r="M94" s="35">
        <f>K94*10%</f>
        <v>7000</v>
      </c>
      <c r="N94" s="36">
        <f>SUM(K94:L94)-M94</f>
        <v>75600</v>
      </c>
      <c r="O94" s="36">
        <f t="shared" si="12"/>
        <v>0</v>
      </c>
      <c r="P94" s="12"/>
    </row>
    <row r="95" spans="1:16" ht="37.5" customHeight="1" x14ac:dyDescent="0.25">
      <c r="A95" s="12" t="s">
        <v>608</v>
      </c>
      <c r="B95" s="44" t="s">
        <v>576</v>
      </c>
      <c r="C95" s="12" t="s">
        <v>32</v>
      </c>
      <c r="D95" s="34">
        <v>100</v>
      </c>
      <c r="E95" s="35">
        <v>350</v>
      </c>
      <c r="F95" s="35">
        <f>E95*D95</f>
        <v>35000</v>
      </c>
      <c r="G95" s="35">
        <f>F95*18%</f>
        <v>6300</v>
      </c>
      <c r="H95" s="36">
        <f>F95+G95</f>
        <v>41300</v>
      </c>
      <c r="I95" s="12">
        <f>55+45</f>
        <v>100</v>
      </c>
      <c r="J95" s="12">
        <f t="shared" si="11"/>
        <v>0</v>
      </c>
      <c r="K95" s="35">
        <f>E95*I95</f>
        <v>35000</v>
      </c>
      <c r="L95" s="35">
        <f>K95*18%</f>
        <v>6300</v>
      </c>
      <c r="M95" s="35">
        <f>K95*10%</f>
        <v>3500</v>
      </c>
      <c r="N95" s="36">
        <f>SUM(K95:L95)-M95</f>
        <v>37800</v>
      </c>
      <c r="O95" s="36">
        <f t="shared" si="12"/>
        <v>0</v>
      </c>
      <c r="P95" s="12"/>
    </row>
    <row r="96" spans="1:16" ht="37.5" customHeight="1" x14ac:dyDescent="0.25">
      <c r="A96" s="12" t="s">
        <v>149</v>
      </c>
      <c r="B96" s="46" t="s">
        <v>609</v>
      </c>
      <c r="C96" s="12"/>
      <c r="D96" s="34"/>
      <c r="E96" s="35"/>
      <c r="F96" s="35"/>
      <c r="G96" s="35"/>
      <c r="H96" s="36"/>
      <c r="I96" s="12"/>
      <c r="J96" s="12"/>
      <c r="K96" s="35"/>
      <c r="L96" s="35"/>
      <c r="M96" s="35"/>
      <c r="N96" s="36"/>
      <c r="O96" s="36"/>
      <c r="P96" s="12"/>
    </row>
    <row r="97" spans="1:16" ht="37.5" customHeight="1" x14ac:dyDescent="0.25">
      <c r="A97" s="12" t="s">
        <v>610</v>
      </c>
      <c r="B97" s="44" t="s">
        <v>520</v>
      </c>
      <c r="C97" s="12"/>
      <c r="D97" s="34"/>
      <c r="E97" s="35"/>
      <c r="F97" s="35"/>
      <c r="G97" s="35"/>
      <c r="H97" s="36"/>
      <c r="I97" s="12"/>
      <c r="J97" s="12"/>
      <c r="K97" s="35"/>
      <c r="L97" s="35"/>
      <c r="M97" s="35"/>
      <c r="N97" s="36"/>
      <c r="O97" s="36"/>
      <c r="P97" s="12"/>
    </row>
    <row r="98" spans="1:16" ht="37.5" customHeight="1" x14ac:dyDescent="0.25">
      <c r="A98" s="12" t="s">
        <v>611</v>
      </c>
      <c r="B98" s="44" t="s">
        <v>579</v>
      </c>
      <c r="C98" s="12" t="s">
        <v>32</v>
      </c>
      <c r="D98" s="34">
        <v>100</v>
      </c>
      <c r="E98" s="35">
        <v>6500</v>
      </c>
      <c r="F98" s="35">
        <f>E98*D98</f>
        <v>650000</v>
      </c>
      <c r="G98" s="35">
        <f>F98*18%</f>
        <v>117000</v>
      </c>
      <c r="H98" s="36">
        <f>F98+G98</f>
        <v>767000</v>
      </c>
      <c r="I98" s="12">
        <f>55+7+1.2+2+3.4+2.8+7.3+8.4+8.8+4+0.1</f>
        <v>100</v>
      </c>
      <c r="J98" s="12">
        <f t="shared" si="11"/>
        <v>0</v>
      </c>
      <c r="K98" s="35">
        <f>I98*E98</f>
        <v>650000</v>
      </c>
      <c r="L98" s="35">
        <f>K98*18%</f>
        <v>117000</v>
      </c>
      <c r="M98" s="35">
        <f>K98*10%</f>
        <v>65000</v>
      </c>
      <c r="N98" s="36">
        <f>SUM(K98:L98)-M98</f>
        <v>702000</v>
      </c>
      <c r="O98" s="36">
        <f t="shared" si="12"/>
        <v>0</v>
      </c>
      <c r="P98" s="12"/>
    </row>
    <row r="99" spans="1:16" ht="37.5" customHeight="1" x14ac:dyDescent="0.25">
      <c r="A99" s="12" t="s">
        <v>612</v>
      </c>
      <c r="B99" s="44" t="s">
        <v>526</v>
      </c>
      <c r="C99" s="12"/>
      <c r="D99" s="34"/>
      <c r="E99" s="35"/>
      <c r="F99" s="35"/>
      <c r="G99" s="35"/>
      <c r="H99" s="36"/>
      <c r="I99" s="12"/>
      <c r="J99" s="12"/>
      <c r="K99" s="35"/>
      <c r="L99" s="35"/>
      <c r="M99" s="35"/>
      <c r="N99" s="36"/>
      <c r="O99" s="36">
        <f t="shared" si="12"/>
        <v>0</v>
      </c>
      <c r="P99" s="12"/>
    </row>
    <row r="100" spans="1:16" ht="37.5" customHeight="1" x14ac:dyDescent="0.25">
      <c r="A100" s="12" t="s">
        <v>613</v>
      </c>
      <c r="B100" s="44" t="s">
        <v>614</v>
      </c>
      <c r="C100" s="12" t="s">
        <v>32</v>
      </c>
      <c r="D100" s="34">
        <v>100</v>
      </c>
      <c r="E100" s="35">
        <v>19500</v>
      </c>
      <c r="F100" s="35">
        <f>E100*D100</f>
        <v>1950000</v>
      </c>
      <c r="G100" s="35">
        <f>F100*18%</f>
        <v>351000</v>
      </c>
      <c r="H100" s="36">
        <f>F100+G100</f>
        <v>2301000</v>
      </c>
      <c r="I100" s="12">
        <f>62+13.5+3.3+1+7.1+9.2+2.7+0.7+0.5</f>
        <v>100</v>
      </c>
      <c r="J100" s="12">
        <f t="shared" si="11"/>
        <v>0</v>
      </c>
      <c r="K100" s="35">
        <f>I100*E100</f>
        <v>1950000</v>
      </c>
      <c r="L100" s="35">
        <f>K100*18%</f>
        <v>351000</v>
      </c>
      <c r="M100" s="35">
        <f>K100*10%</f>
        <v>195000</v>
      </c>
      <c r="N100" s="36">
        <f>SUM(K100:L100)-M100</f>
        <v>2106000</v>
      </c>
      <c r="O100" s="36">
        <f t="shared" si="12"/>
        <v>0</v>
      </c>
      <c r="P100" s="12"/>
    </row>
    <row r="101" spans="1:16" ht="47.25" customHeight="1" x14ac:dyDescent="0.25">
      <c r="A101" s="12" t="s">
        <v>615</v>
      </c>
      <c r="B101" s="44" t="s">
        <v>616</v>
      </c>
      <c r="C101" s="12" t="s">
        <v>32</v>
      </c>
      <c r="D101" s="34">
        <v>100</v>
      </c>
      <c r="E101" s="35">
        <v>16250</v>
      </c>
      <c r="F101" s="35">
        <f>E101*D101</f>
        <v>1625000</v>
      </c>
      <c r="G101" s="35">
        <f>F101*18%</f>
        <v>292500</v>
      </c>
      <c r="H101" s="36">
        <f>F101+G101</f>
        <v>1917500</v>
      </c>
      <c r="I101" s="12">
        <f>65+3.9+4.5+3.5+12.9+5.2+1.6+2.4+1</f>
        <v>100.00000000000001</v>
      </c>
      <c r="J101" s="12">
        <f t="shared" si="11"/>
        <v>0</v>
      </c>
      <c r="K101" s="35">
        <f>I101*E101</f>
        <v>1625000.0000000002</v>
      </c>
      <c r="L101" s="35">
        <f>K101*18%</f>
        <v>292500.00000000006</v>
      </c>
      <c r="M101" s="35">
        <f>K101*10%</f>
        <v>162500.00000000003</v>
      </c>
      <c r="N101" s="36">
        <f>SUM(K101:L101)-M101</f>
        <v>1755000.0000000002</v>
      </c>
      <c r="O101" s="36">
        <f t="shared" si="12"/>
        <v>0</v>
      </c>
      <c r="P101" s="12"/>
    </row>
    <row r="102" spans="1:16" ht="37.5" customHeight="1" x14ac:dyDescent="0.25">
      <c r="A102" s="12" t="s">
        <v>617</v>
      </c>
      <c r="B102" s="44" t="s">
        <v>618</v>
      </c>
      <c r="C102" s="12" t="s">
        <v>32</v>
      </c>
      <c r="D102" s="34">
        <v>100</v>
      </c>
      <c r="E102" s="35">
        <v>13000</v>
      </c>
      <c r="F102" s="35">
        <f>E102*D102</f>
        <v>1300000</v>
      </c>
      <c r="G102" s="35">
        <f>F102*18%</f>
        <v>234000</v>
      </c>
      <c r="H102" s="36">
        <f>F102+G102</f>
        <v>1534000</v>
      </c>
      <c r="I102" s="12">
        <f>52+5.1+5.7+31.6+0.9+1.3+2.8+0.4+0.1+0.1</f>
        <v>100</v>
      </c>
      <c r="J102" s="12">
        <f t="shared" si="11"/>
        <v>0</v>
      </c>
      <c r="K102" s="35">
        <f>I102*E102</f>
        <v>1300000</v>
      </c>
      <c r="L102" s="35">
        <f>K102*18%</f>
        <v>234000</v>
      </c>
      <c r="M102" s="35">
        <f>K102*10%</f>
        <v>130000</v>
      </c>
      <c r="N102" s="36">
        <f>SUM(K102:L102)-M102</f>
        <v>1404000</v>
      </c>
      <c r="O102" s="36">
        <f t="shared" si="12"/>
        <v>0</v>
      </c>
      <c r="P102" s="12"/>
    </row>
    <row r="103" spans="1:16" ht="37.5" customHeight="1" x14ac:dyDescent="0.25">
      <c r="A103" s="12" t="s">
        <v>619</v>
      </c>
      <c r="B103" s="44" t="s">
        <v>607</v>
      </c>
      <c r="C103" s="12" t="s">
        <v>32</v>
      </c>
      <c r="D103" s="34">
        <v>100</v>
      </c>
      <c r="E103" s="35">
        <v>6500</v>
      </c>
      <c r="F103" s="35">
        <f>E103*D103</f>
        <v>650000</v>
      </c>
      <c r="G103" s="35">
        <f>F103*18%</f>
        <v>117000</v>
      </c>
      <c r="H103" s="36">
        <f>F103+G103</f>
        <v>767000</v>
      </c>
      <c r="I103" s="12">
        <f>60+24.7+15.3</f>
        <v>100</v>
      </c>
      <c r="J103" s="12">
        <f t="shared" si="11"/>
        <v>0</v>
      </c>
      <c r="K103" s="35">
        <f>I103*E103</f>
        <v>650000</v>
      </c>
      <c r="L103" s="35">
        <f>K103*18%</f>
        <v>117000</v>
      </c>
      <c r="M103" s="35">
        <f>K103*10%</f>
        <v>65000</v>
      </c>
      <c r="N103" s="36">
        <f>SUM(K103:L103)-M103</f>
        <v>702000</v>
      </c>
      <c r="O103" s="36">
        <f t="shared" si="12"/>
        <v>0</v>
      </c>
      <c r="P103" s="12"/>
    </row>
    <row r="104" spans="1:16" ht="37.5" customHeight="1" x14ac:dyDescent="0.25">
      <c r="A104" s="12" t="s">
        <v>620</v>
      </c>
      <c r="B104" s="44" t="s">
        <v>576</v>
      </c>
      <c r="C104" s="12" t="s">
        <v>32</v>
      </c>
      <c r="D104" s="34">
        <v>100</v>
      </c>
      <c r="E104" s="35">
        <v>3250</v>
      </c>
      <c r="F104" s="35">
        <f>E104*D104</f>
        <v>325000</v>
      </c>
      <c r="G104" s="35">
        <f>F104*18%</f>
        <v>58500</v>
      </c>
      <c r="H104" s="36">
        <f>F104+G104</f>
        <v>383500</v>
      </c>
      <c r="I104" s="12">
        <f>51.1+2.4+9.2+12.9+5.4+2.6+6.3+10+0.1</f>
        <v>100</v>
      </c>
      <c r="J104" s="12">
        <f t="shared" si="11"/>
        <v>0</v>
      </c>
      <c r="K104" s="35">
        <f>I104*E104</f>
        <v>325000</v>
      </c>
      <c r="L104" s="35">
        <f>K104*18%</f>
        <v>58500</v>
      </c>
      <c r="M104" s="35">
        <f>K104*10%</f>
        <v>32500</v>
      </c>
      <c r="N104" s="36">
        <f>SUM(K104:L104)-M104</f>
        <v>351000</v>
      </c>
      <c r="O104" s="36">
        <f t="shared" si="12"/>
        <v>0</v>
      </c>
      <c r="P104" s="12"/>
    </row>
    <row r="105" spans="1:16" ht="37.5" customHeight="1" x14ac:dyDescent="0.25">
      <c r="A105" s="12" t="s">
        <v>151</v>
      </c>
      <c r="B105" s="46" t="s">
        <v>407</v>
      </c>
      <c r="C105" s="12"/>
      <c r="D105" s="34"/>
      <c r="E105" s="35"/>
      <c r="F105" s="35"/>
      <c r="G105" s="35"/>
      <c r="H105" s="36"/>
      <c r="I105" s="12"/>
      <c r="J105" s="12"/>
      <c r="K105" s="35"/>
      <c r="L105" s="35"/>
      <c r="M105" s="35"/>
      <c r="N105" s="36"/>
      <c r="O105" s="36"/>
      <c r="P105" s="12"/>
    </row>
    <row r="106" spans="1:16" ht="37.5" customHeight="1" x14ac:dyDescent="0.25">
      <c r="A106" s="12" t="s">
        <v>621</v>
      </c>
      <c r="B106" s="44" t="s">
        <v>520</v>
      </c>
      <c r="C106" s="12"/>
      <c r="D106" s="34"/>
      <c r="E106" s="35"/>
      <c r="F106" s="35"/>
      <c r="G106" s="35"/>
      <c r="H106" s="36"/>
      <c r="I106" s="12"/>
      <c r="J106" s="12"/>
      <c r="K106" s="35"/>
      <c r="L106" s="35"/>
      <c r="M106" s="35"/>
      <c r="N106" s="36"/>
      <c r="O106" s="36"/>
      <c r="P106" s="12"/>
    </row>
    <row r="107" spans="1:16" ht="37.5" customHeight="1" x14ac:dyDescent="0.25">
      <c r="A107" s="12" t="s">
        <v>622</v>
      </c>
      <c r="B107" s="44" t="s">
        <v>579</v>
      </c>
      <c r="C107" s="12" t="s">
        <v>32</v>
      </c>
      <c r="D107" s="34">
        <v>100</v>
      </c>
      <c r="E107" s="35">
        <v>1000</v>
      </c>
      <c r="F107" s="35">
        <f>E107*D107</f>
        <v>100000</v>
      </c>
      <c r="G107" s="35">
        <f>F107*18%</f>
        <v>18000</v>
      </c>
      <c r="H107" s="36">
        <f>F107+G107</f>
        <v>118000</v>
      </c>
      <c r="I107" s="12">
        <f>50+32+18</f>
        <v>100</v>
      </c>
      <c r="J107" s="12">
        <f>D107-I107</f>
        <v>0</v>
      </c>
      <c r="K107" s="35">
        <f>I107*E107</f>
        <v>100000</v>
      </c>
      <c r="L107" s="35">
        <f>K107*18%</f>
        <v>18000</v>
      </c>
      <c r="M107" s="35">
        <f>K107*10%</f>
        <v>10000</v>
      </c>
      <c r="N107" s="36">
        <f>SUM(K107:L107)-M107</f>
        <v>108000</v>
      </c>
      <c r="O107" s="36">
        <f>J107*E107</f>
        <v>0</v>
      </c>
      <c r="P107" s="12"/>
    </row>
    <row r="108" spans="1:16" ht="37.5" customHeight="1" x14ac:dyDescent="0.25">
      <c r="A108" s="12" t="s">
        <v>623</v>
      </c>
      <c r="B108" s="44" t="s">
        <v>524</v>
      </c>
      <c r="C108" s="12" t="s">
        <v>32</v>
      </c>
      <c r="D108" s="34">
        <v>100</v>
      </c>
      <c r="E108" s="35">
        <v>1000</v>
      </c>
      <c r="F108" s="35">
        <f>E108*D108</f>
        <v>100000</v>
      </c>
      <c r="G108" s="35">
        <f>F108*18%</f>
        <v>18000</v>
      </c>
      <c r="H108" s="36">
        <f>F108+G108</f>
        <v>118000</v>
      </c>
      <c r="I108" s="12">
        <f>50+50</f>
        <v>100</v>
      </c>
      <c r="J108" s="12">
        <f>D108-I108</f>
        <v>0</v>
      </c>
      <c r="K108" s="35">
        <f>I108*E108</f>
        <v>100000</v>
      </c>
      <c r="L108" s="35">
        <f>K108*18%</f>
        <v>18000</v>
      </c>
      <c r="M108" s="35">
        <f>K108*10%</f>
        <v>10000</v>
      </c>
      <c r="N108" s="36">
        <f>SUM(K108:L108)-M108</f>
        <v>108000</v>
      </c>
      <c r="O108" s="36">
        <f>J108*E108</f>
        <v>0</v>
      </c>
      <c r="P108" s="12"/>
    </row>
    <row r="109" spans="1:16" ht="37.5" customHeight="1" x14ac:dyDescent="0.25">
      <c r="A109" s="12" t="s">
        <v>624</v>
      </c>
      <c r="B109" s="44" t="s">
        <v>526</v>
      </c>
      <c r="C109" s="12"/>
      <c r="D109" s="34"/>
      <c r="E109" s="35"/>
      <c r="F109" s="35"/>
      <c r="G109" s="35"/>
      <c r="H109" s="36"/>
      <c r="I109" s="12"/>
      <c r="J109" s="12"/>
      <c r="K109" s="35"/>
      <c r="L109" s="35"/>
      <c r="M109" s="35"/>
      <c r="N109" s="36"/>
      <c r="O109" s="36"/>
      <c r="P109" s="12"/>
    </row>
    <row r="110" spans="1:16" ht="37.5" customHeight="1" x14ac:dyDescent="0.25">
      <c r="A110" s="12" t="s">
        <v>625</v>
      </c>
      <c r="B110" s="44" t="s">
        <v>603</v>
      </c>
      <c r="C110" s="12" t="s">
        <v>32</v>
      </c>
      <c r="D110" s="34">
        <v>100</v>
      </c>
      <c r="E110" s="35">
        <v>2000</v>
      </c>
      <c r="F110" s="35">
        <f>E110*D110</f>
        <v>200000</v>
      </c>
      <c r="G110" s="35">
        <f>F110*18%</f>
        <v>36000</v>
      </c>
      <c r="H110" s="36">
        <f>F110+G110</f>
        <v>236000</v>
      </c>
      <c r="I110" s="12">
        <f>50+50</f>
        <v>100</v>
      </c>
      <c r="J110" s="12">
        <f>D110-I110</f>
        <v>0</v>
      </c>
      <c r="K110" s="35">
        <f>I110*E110</f>
        <v>200000</v>
      </c>
      <c r="L110" s="35">
        <f>K110*18%</f>
        <v>36000</v>
      </c>
      <c r="M110" s="35">
        <f>K110*10%</f>
        <v>20000</v>
      </c>
      <c r="N110" s="36">
        <f>SUM(K110:L110)-M110</f>
        <v>216000</v>
      </c>
      <c r="O110" s="36">
        <f>J110*E110</f>
        <v>0</v>
      </c>
      <c r="P110" s="12"/>
    </row>
    <row r="111" spans="1:16" ht="37.5" customHeight="1" x14ac:dyDescent="0.25">
      <c r="A111" s="12" t="s">
        <v>626</v>
      </c>
      <c r="B111" s="44" t="s">
        <v>627</v>
      </c>
      <c r="C111" s="12" t="s">
        <v>32</v>
      </c>
      <c r="D111" s="34">
        <v>100</v>
      </c>
      <c r="E111" s="35">
        <v>2500</v>
      </c>
      <c r="F111" s="35">
        <f>E111*D111</f>
        <v>250000</v>
      </c>
      <c r="G111" s="35">
        <f>F111*18%</f>
        <v>45000</v>
      </c>
      <c r="H111" s="36">
        <f>F111+G111</f>
        <v>295000</v>
      </c>
      <c r="I111" s="12">
        <f>25+23.8+51.2</f>
        <v>100</v>
      </c>
      <c r="J111" s="12">
        <f>D111-I111</f>
        <v>0</v>
      </c>
      <c r="K111" s="35">
        <f>I111*E111</f>
        <v>250000</v>
      </c>
      <c r="L111" s="35">
        <f>K111*18%</f>
        <v>45000</v>
      </c>
      <c r="M111" s="35">
        <f>K111*10%</f>
        <v>25000</v>
      </c>
      <c r="N111" s="36">
        <f>SUM(K111:L111)-M111</f>
        <v>270000</v>
      </c>
      <c r="O111" s="36">
        <f>J111*E111</f>
        <v>0</v>
      </c>
      <c r="P111" s="12"/>
    </row>
    <row r="112" spans="1:16" ht="37.5" customHeight="1" x14ac:dyDescent="0.25">
      <c r="A112" s="12" t="s">
        <v>628</v>
      </c>
      <c r="B112" s="44" t="s">
        <v>629</v>
      </c>
      <c r="C112" s="12" t="s">
        <v>32</v>
      </c>
      <c r="D112" s="34">
        <v>100</v>
      </c>
      <c r="E112" s="35">
        <v>3000</v>
      </c>
      <c r="F112" s="35">
        <f>E112*D112</f>
        <v>300000</v>
      </c>
      <c r="G112" s="35">
        <f>F112*18%</f>
        <v>54000</v>
      </c>
      <c r="H112" s="36">
        <f>F112+G112</f>
        <v>354000</v>
      </c>
      <c r="I112" s="12">
        <f>19+81</f>
        <v>100</v>
      </c>
      <c r="J112" s="12">
        <f>D112-I112</f>
        <v>0</v>
      </c>
      <c r="K112" s="35">
        <f>I112*E112</f>
        <v>300000</v>
      </c>
      <c r="L112" s="35">
        <f>K112*18%</f>
        <v>54000</v>
      </c>
      <c r="M112" s="35">
        <f>K112*10%</f>
        <v>30000</v>
      </c>
      <c r="N112" s="36">
        <f>SUM(K112:L112)-M112</f>
        <v>324000</v>
      </c>
      <c r="O112" s="36">
        <f>J112*E112</f>
        <v>0</v>
      </c>
      <c r="P112" s="12"/>
    </row>
    <row r="113" spans="1:16" ht="37.5" customHeight="1" x14ac:dyDescent="0.25">
      <c r="A113" s="12" t="s">
        <v>630</v>
      </c>
      <c r="B113" s="44" t="s">
        <v>576</v>
      </c>
      <c r="C113" s="12" t="s">
        <v>32</v>
      </c>
      <c r="D113" s="34">
        <v>100</v>
      </c>
      <c r="E113" s="35">
        <v>500</v>
      </c>
      <c r="F113" s="35">
        <f>E113*D113</f>
        <v>50000</v>
      </c>
      <c r="G113" s="35">
        <f>F113*18%</f>
        <v>9000</v>
      </c>
      <c r="H113" s="36">
        <f>F113+G113</f>
        <v>59000</v>
      </c>
      <c r="I113" s="12">
        <v>100</v>
      </c>
      <c r="J113" s="12">
        <f>D113-I113</f>
        <v>0</v>
      </c>
      <c r="K113" s="35">
        <f>I113*E113</f>
        <v>50000</v>
      </c>
      <c r="L113" s="35">
        <f>K113*18%</f>
        <v>9000</v>
      </c>
      <c r="M113" s="35">
        <f>K113*10%</f>
        <v>5000</v>
      </c>
      <c r="N113" s="36">
        <f>SUM(K113:L113)-M113</f>
        <v>54000</v>
      </c>
      <c r="O113" s="36">
        <f>J113*E113</f>
        <v>0</v>
      </c>
      <c r="P113" s="12"/>
    </row>
    <row r="114" spans="1:16" ht="37.5" customHeight="1" x14ac:dyDescent="0.25">
      <c r="A114" s="12" t="s">
        <v>203</v>
      </c>
      <c r="B114" s="33" t="s">
        <v>631</v>
      </c>
      <c r="C114" s="12"/>
      <c r="D114" s="34"/>
      <c r="E114" s="35"/>
      <c r="F114" s="35"/>
      <c r="G114" s="35"/>
      <c r="H114" s="36"/>
      <c r="I114" s="12"/>
      <c r="J114" s="12"/>
      <c r="K114" s="35"/>
      <c r="L114" s="35"/>
      <c r="M114" s="35"/>
      <c r="N114" s="36"/>
      <c r="O114" s="36"/>
      <c r="P114" s="12"/>
    </row>
    <row r="115" spans="1:16" ht="37.5" customHeight="1" x14ac:dyDescent="0.25">
      <c r="A115" s="132" t="s">
        <v>632</v>
      </c>
      <c r="B115" s="44" t="s">
        <v>633</v>
      </c>
      <c r="C115" s="12"/>
      <c r="D115" s="133"/>
      <c r="E115" s="133"/>
      <c r="F115" s="133"/>
      <c r="G115" s="134"/>
      <c r="H115" s="135"/>
      <c r="I115" s="12"/>
      <c r="J115" s="12"/>
      <c r="K115" s="35">
        <f>I115*E115</f>
        <v>0</v>
      </c>
      <c r="L115" s="35">
        <f>K115*18%</f>
        <v>0</v>
      </c>
      <c r="M115" s="35">
        <f>K115*10%</f>
        <v>0</v>
      </c>
      <c r="N115" s="36">
        <f>SUM(K115:L115)-M115</f>
        <v>0</v>
      </c>
      <c r="O115" s="36">
        <f>J115*E115</f>
        <v>0</v>
      </c>
      <c r="P115" s="12"/>
    </row>
    <row r="116" spans="1:16" ht="37.5" customHeight="1" x14ac:dyDescent="0.25">
      <c r="A116" s="132" t="s">
        <v>634</v>
      </c>
      <c r="B116" s="44" t="s">
        <v>635</v>
      </c>
      <c r="C116" s="12" t="s">
        <v>32</v>
      </c>
      <c r="D116" s="136">
        <v>100</v>
      </c>
      <c r="E116" s="35">
        <v>15000</v>
      </c>
      <c r="F116" s="35">
        <f>E116*D116</f>
        <v>1500000</v>
      </c>
      <c r="G116" s="35">
        <f>F116*18%</f>
        <v>270000</v>
      </c>
      <c r="H116" s="36">
        <f>F116+G116</f>
        <v>1770000</v>
      </c>
      <c r="I116" s="12">
        <f>50+14+6.9+27.1+2</f>
        <v>100</v>
      </c>
      <c r="J116" s="12">
        <f>D116-I116</f>
        <v>0</v>
      </c>
      <c r="K116" s="35">
        <f>I116*E116</f>
        <v>1500000</v>
      </c>
      <c r="L116" s="35">
        <f>K116*18%</f>
        <v>270000</v>
      </c>
      <c r="M116" s="35">
        <f>K116*10%</f>
        <v>150000</v>
      </c>
      <c r="N116" s="36">
        <f>SUM(K116:L116)-M116</f>
        <v>1620000</v>
      </c>
      <c r="O116" s="36">
        <f>J116*E116</f>
        <v>0</v>
      </c>
      <c r="P116" s="12"/>
    </row>
    <row r="117" spans="1:16" ht="37.5" customHeight="1" x14ac:dyDescent="0.25">
      <c r="A117" s="132" t="s">
        <v>636</v>
      </c>
      <c r="B117" s="44" t="s">
        <v>637</v>
      </c>
      <c r="C117" s="12" t="s">
        <v>32</v>
      </c>
      <c r="D117" s="136">
        <v>100</v>
      </c>
      <c r="E117" s="35">
        <v>10000</v>
      </c>
      <c r="F117" s="35">
        <f t="shared" ref="F117:F122" si="20">E117*D117</f>
        <v>1000000</v>
      </c>
      <c r="G117" s="35">
        <f t="shared" ref="G117:G122" si="21">F117*18%</f>
        <v>180000</v>
      </c>
      <c r="H117" s="36">
        <f t="shared" ref="H117:H122" si="22">F117+G117</f>
        <v>1180000</v>
      </c>
      <c r="I117" s="12">
        <f>23+22+19+30+4+2</f>
        <v>100</v>
      </c>
      <c r="J117" s="12">
        <f t="shared" ref="J117:J122" si="23">D117-I117</f>
        <v>0</v>
      </c>
      <c r="K117" s="35">
        <f>I117*E117</f>
        <v>1000000</v>
      </c>
      <c r="L117" s="35">
        <f>K117*18%</f>
        <v>180000</v>
      </c>
      <c r="M117" s="35">
        <f>K117*10%</f>
        <v>100000</v>
      </c>
      <c r="N117" s="36">
        <f>SUM(K117:L117)-M117</f>
        <v>1080000</v>
      </c>
      <c r="O117" s="36">
        <f>J117*E117</f>
        <v>0</v>
      </c>
      <c r="P117" s="12"/>
    </row>
    <row r="118" spans="1:16" ht="37.5" customHeight="1" x14ac:dyDescent="0.25">
      <c r="A118" s="132" t="s">
        <v>638</v>
      </c>
      <c r="B118" s="46" t="s">
        <v>520</v>
      </c>
      <c r="C118" s="12"/>
      <c r="D118" s="136"/>
      <c r="E118" s="133"/>
      <c r="F118" s="35"/>
      <c r="G118" s="35"/>
      <c r="H118" s="36"/>
      <c r="I118" s="12"/>
      <c r="J118" s="12"/>
      <c r="K118" s="35">
        <f>I118*E118</f>
        <v>0</v>
      </c>
      <c r="L118" s="35">
        <f>K118*18%</f>
        <v>0</v>
      </c>
      <c r="M118" s="35">
        <f>K118*10%</f>
        <v>0</v>
      </c>
      <c r="N118" s="36">
        <f>SUM(K118:L118)-M118</f>
        <v>0</v>
      </c>
      <c r="O118" s="36">
        <f>J118*E118</f>
        <v>0</v>
      </c>
      <c r="P118" s="12"/>
    </row>
    <row r="119" spans="1:16" ht="37.5" customHeight="1" x14ac:dyDescent="0.25">
      <c r="A119" s="132" t="s">
        <v>639</v>
      </c>
      <c r="B119" s="44" t="s">
        <v>640</v>
      </c>
      <c r="C119" s="12" t="s">
        <v>32</v>
      </c>
      <c r="D119" s="136">
        <v>100</v>
      </c>
      <c r="E119" s="35">
        <v>10000</v>
      </c>
      <c r="F119" s="35">
        <f t="shared" si="20"/>
        <v>1000000</v>
      </c>
      <c r="G119" s="35">
        <f t="shared" si="21"/>
        <v>180000</v>
      </c>
      <c r="H119" s="36">
        <f t="shared" si="22"/>
        <v>1180000</v>
      </c>
      <c r="I119" s="12">
        <f>20+44+21+13+2</f>
        <v>100</v>
      </c>
      <c r="J119" s="12">
        <f t="shared" si="23"/>
        <v>0</v>
      </c>
      <c r="K119" s="35">
        <f t="shared" ref="K119:K131" si="24">I119*E119</f>
        <v>1000000</v>
      </c>
      <c r="L119" s="35">
        <f t="shared" ref="L119:L131" si="25">K119*18%</f>
        <v>180000</v>
      </c>
      <c r="M119" s="35">
        <f t="shared" ref="M119:M131" si="26">K119*10%</f>
        <v>100000</v>
      </c>
      <c r="N119" s="36">
        <f t="shared" ref="N119:N131" si="27">SUM(K119:L119)-M119</f>
        <v>1080000</v>
      </c>
      <c r="O119" s="36">
        <f t="shared" ref="O119:O131" si="28">J119*E119</f>
        <v>0</v>
      </c>
      <c r="P119" s="12"/>
    </row>
    <row r="120" spans="1:16" ht="37.5" customHeight="1" x14ac:dyDescent="0.25">
      <c r="A120" s="132" t="s">
        <v>641</v>
      </c>
      <c r="B120" s="44" t="s">
        <v>642</v>
      </c>
      <c r="C120" s="12" t="s">
        <v>32</v>
      </c>
      <c r="D120" s="136">
        <v>100</v>
      </c>
      <c r="E120" s="35">
        <v>1000</v>
      </c>
      <c r="F120" s="35">
        <f t="shared" si="20"/>
        <v>100000</v>
      </c>
      <c r="G120" s="35">
        <f t="shared" si="21"/>
        <v>18000</v>
      </c>
      <c r="H120" s="36">
        <f t="shared" si="22"/>
        <v>118000</v>
      </c>
      <c r="I120" s="12">
        <f>12+88</f>
        <v>100</v>
      </c>
      <c r="J120" s="12">
        <f t="shared" si="23"/>
        <v>0</v>
      </c>
      <c r="K120" s="35">
        <f t="shared" si="24"/>
        <v>100000</v>
      </c>
      <c r="L120" s="35">
        <f t="shared" si="25"/>
        <v>18000</v>
      </c>
      <c r="M120" s="35">
        <f t="shared" si="26"/>
        <v>10000</v>
      </c>
      <c r="N120" s="36">
        <f t="shared" si="27"/>
        <v>108000</v>
      </c>
      <c r="O120" s="36">
        <f t="shared" si="28"/>
        <v>0</v>
      </c>
      <c r="P120" s="12"/>
    </row>
    <row r="121" spans="1:16" ht="37.5" customHeight="1" x14ac:dyDescent="0.25">
      <c r="A121" s="132" t="s">
        <v>643</v>
      </c>
      <c r="B121" s="44" t="s">
        <v>644</v>
      </c>
      <c r="C121" s="12" t="s">
        <v>32</v>
      </c>
      <c r="D121" s="136">
        <v>100</v>
      </c>
      <c r="E121" s="35">
        <v>40000</v>
      </c>
      <c r="F121" s="35">
        <f t="shared" si="20"/>
        <v>4000000</v>
      </c>
      <c r="G121" s="35">
        <f t="shared" si="21"/>
        <v>720000</v>
      </c>
      <c r="H121" s="36">
        <f t="shared" si="22"/>
        <v>4720000</v>
      </c>
      <c r="I121" s="12">
        <f>10+9+39.3+39.7+2</f>
        <v>100</v>
      </c>
      <c r="J121" s="12">
        <f t="shared" si="23"/>
        <v>0</v>
      </c>
      <c r="K121" s="35">
        <f t="shared" si="24"/>
        <v>4000000</v>
      </c>
      <c r="L121" s="35">
        <f t="shared" si="25"/>
        <v>720000</v>
      </c>
      <c r="M121" s="35">
        <f t="shared" si="26"/>
        <v>400000</v>
      </c>
      <c r="N121" s="36">
        <f t="shared" si="27"/>
        <v>4320000</v>
      </c>
      <c r="O121" s="36">
        <f t="shared" si="28"/>
        <v>0</v>
      </c>
      <c r="P121" s="12"/>
    </row>
    <row r="122" spans="1:16" ht="37.5" customHeight="1" x14ac:dyDescent="0.25">
      <c r="A122" s="132" t="s">
        <v>645</v>
      </c>
      <c r="B122" s="44" t="s">
        <v>646</v>
      </c>
      <c r="C122" s="12" t="s">
        <v>32</v>
      </c>
      <c r="D122" s="136">
        <v>100</v>
      </c>
      <c r="E122" s="35">
        <v>4000</v>
      </c>
      <c r="F122" s="35">
        <f t="shared" si="20"/>
        <v>400000</v>
      </c>
      <c r="G122" s="35">
        <f t="shared" si="21"/>
        <v>72000</v>
      </c>
      <c r="H122" s="36">
        <f t="shared" si="22"/>
        <v>472000</v>
      </c>
      <c r="I122" s="12">
        <f>10+80+10</f>
        <v>100</v>
      </c>
      <c r="J122" s="12">
        <f t="shared" si="23"/>
        <v>0</v>
      </c>
      <c r="K122" s="35">
        <f t="shared" si="24"/>
        <v>400000</v>
      </c>
      <c r="L122" s="35">
        <f t="shared" si="25"/>
        <v>72000</v>
      </c>
      <c r="M122" s="35">
        <f t="shared" si="26"/>
        <v>40000</v>
      </c>
      <c r="N122" s="36">
        <f t="shared" si="27"/>
        <v>432000</v>
      </c>
      <c r="O122" s="36">
        <f t="shared" si="28"/>
        <v>0</v>
      </c>
      <c r="P122" s="12"/>
    </row>
    <row r="123" spans="1:16" ht="37.5" customHeight="1" x14ac:dyDescent="0.25">
      <c r="A123" s="12" t="s">
        <v>647</v>
      </c>
      <c r="B123" s="44" t="s">
        <v>403</v>
      </c>
      <c r="C123" s="12"/>
      <c r="D123" s="34"/>
      <c r="E123" s="35"/>
      <c r="F123" s="35"/>
      <c r="G123" s="35"/>
      <c r="H123" s="36"/>
      <c r="I123" s="12"/>
      <c r="J123" s="12"/>
      <c r="K123" s="35">
        <f t="shared" si="24"/>
        <v>0</v>
      </c>
      <c r="L123" s="35">
        <f t="shared" si="25"/>
        <v>0</v>
      </c>
      <c r="M123" s="35">
        <f t="shared" si="26"/>
        <v>0</v>
      </c>
      <c r="N123" s="36">
        <f t="shared" si="27"/>
        <v>0</v>
      </c>
      <c r="O123" s="36">
        <f t="shared" si="28"/>
        <v>0</v>
      </c>
      <c r="P123" s="12"/>
    </row>
    <row r="124" spans="1:16" ht="37.5" customHeight="1" x14ac:dyDescent="0.25">
      <c r="A124" s="132" t="s">
        <v>648</v>
      </c>
      <c r="B124" s="44" t="s">
        <v>649</v>
      </c>
      <c r="C124" s="12" t="s">
        <v>32</v>
      </c>
      <c r="D124" s="136">
        <v>100</v>
      </c>
      <c r="E124" s="35">
        <v>700</v>
      </c>
      <c r="F124" s="35">
        <f>E124*D124</f>
        <v>70000</v>
      </c>
      <c r="G124" s="35">
        <f>F124*18%</f>
        <v>12600</v>
      </c>
      <c r="H124" s="36">
        <f>F124+G124</f>
        <v>82600</v>
      </c>
      <c r="I124" s="12">
        <f>100</f>
        <v>100</v>
      </c>
      <c r="J124" s="12">
        <f>D124-I124</f>
        <v>0</v>
      </c>
      <c r="K124" s="35">
        <f t="shared" si="24"/>
        <v>70000</v>
      </c>
      <c r="L124" s="35">
        <f t="shared" si="25"/>
        <v>12600</v>
      </c>
      <c r="M124" s="35">
        <f t="shared" si="26"/>
        <v>7000</v>
      </c>
      <c r="N124" s="36">
        <f t="shared" si="27"/>
        <v>75600</v>
      </c>
      <c r="O124" s="36">
        <f t="shared" si="28"/>
        <v>0</v>
      </c>
      <c r="P124" s="12"/>
    </row>
    <row r="125" spans="1:16" ht="37.5" customHeight="1" x14ac:dyDescent="0.25">
      <c r="A125" s="132" t="s">
        <v>650</v>
      </c>
      <c r="B125" s="44" t="s">
        <v>651</v>
      </c>
      <c r="C125" s="12" t="s">
        <v>32</v>
      </c>
      <c r="D125" s="136">
        <v>100</v>
      </c>
      <c r="E125" s="35">
        <v>1000</v>
      </c>
      <c r="F125" s="35">
        <f t="shared" ref="F125:F131" si="29">E125*D125</f>
        <v>100000</v>
      </c>
      <c r="G125" s="35">
        <f t="shared" ref="G125:G131" si="30">F125*18%</f>
        <v>18000</v>
      </c>
      <c r="H125" s="36">
        <f t="shared" ref="H125:H131" si="31">F125+G125</f>
        <v>118000</v>
      </c>
      <c r="I125" s="12">
        <f>32.8+17.2+50</f>
        <v>100</v>
      </c>
      <c r="J125" s="12">
        <f t="shared" ref="J125:J131" si="32">D125-I125</f>
        <v>0</v>
      </c>
      <c r="K125" s="35">
        <f t="shared" si="24"/>
        <v>100000</v>
      </c>
      <c r="L125" s="35">
        <f t="shared" si="25"/>
        <v>18000</v>
      </c>
      <c r="M125" s="35">
        <f t="shared" si="26"/>
        <v>10000</v>
      </c>
      <c r="N125" s="36">
        <f t="shared" si="27"/>
        <v>108000</v>
      </c>
      <c r="O125" s="36">
        <f t="shared" si="28"/>
        <v>0</v>
      </c>
      <c r="P125" s="12"/>
    </row>
    <row r="126" spans="1:16" ht="37.5" customHeight="1" x14ac:dyDescent="0.25">
      <c r="A126" s="132" t="s">
        <v>652</v>
      </c>
      <c r="B126" s="44" t="s">
        <v>653</v>
      </c>
      <c r="C126" s="12"/>
      <c r="D126" s="133"/>
      <c r="E126" s="35"/>
      <c r="F126" s="35"/>
      <c r="G126" s="35"/>
      <c r="H126" s="36"/>
      <c r="I126" s="12"/>
      <c r="J126" s="12"/>
      <c r="K126" s="35">
        <f t="shared" si="24"/>
        <v>0</v>
      </c>
      <c r="L126" s="35">
        <f t="shared" si="25"/>
        <v>0</v>
      </c>
      <c r="M126" s="35">
        <f t="shared" si="26"/>
        <v>0</v>
      </c>
      <c r="N126" s="36">
        <f t="shared" si="27"/>
        <v>0</v>
      </c>
      <c r="O126" s="36">
        <f t="shared" si="28"/>
        <v>0</v>
      </c>
      <c r="P126" s="12"/>
    </row>
    <row r="127" spans="1:16" ht="37.5" customHeight="1" x14ac:dyDescent="0.25">
      <c r="A127" s="132" t="s">
        <v>654</v>
      </c>
      <c r="B127" s="44" t="s">
        <v>655</v>
      </c>
      <c r="C127" s="12" t="s">
        <v>32</v>
      </c>
      <c r="D127" s="136">
        <v>100</v>
      </c>
      <c r="E127" s="35">
        <v>3300</v>
      </c>
      <c r="F127" s="35">
        <f t="shared" si="29"/>
        <v>330000</v>
      </c>
      <c r="G127" s="35">
        <f t="shared" si="30"/>
        <v>59400</v>
      </c>
      <c r="H127" s="36">
        <f t="shared" si="31"/>
        <v>389400</v>
      </c>
      <c r="I127" s="12">
        <f>20+30+50</f>
        <v>100</v>
      </c>
      <c r="J127" s="12">
        <f t="shared" si="32"/>
        <v>0</v>
      </c>
      <c r="K127" s="35">
        <f t="shared" si="24"/>
        <v>330000</v>
      </c>
      <c r="L127" s="35">
        <f t="shared" si="25"/>
        <v>59400</v>
      </c>
      <c r="M127" s="35">
        <f t="shared" si="26"/>
        <v>33000</v>
      </c>
      <c r="N127" s="36">
        <f t="shared" si="27"/>
        <v>356400</v>
      </c>
      <c r="O127" s="36">
        <f t="shared" si="28"/>
        <v>0</v>
      </c>
      <c r="P127" s="12"/>
    </row>
    <row r="128" spans="1:16" ht="37.5" customHeight="1" x14ac:dyDescent="0.25">
      <c r="A128" s="132" t="s">
        <v>656</v>
      </c>
      <c r="B128" s="44" t="s">
        <v>657</v>
      </c>
      <c r="C128" s="12"/>
      <c r="D128" s="136"/>
      <c r="E128" s="35"/>
      <c r="F128" s="35"/>
      <c r="G128" s="35"/>
      <c r="H128" s="36"/>
      <c r="I128" s="12"/>
      <c r="J128" s="12"/>
      <c r="K128" s="35">
        <f t="shared" si="24"/>
        <v>0</v>
      </c>
      <c r="L128" s="35">
        <f t="shared" si="25"/>
        <v>0</v>
      </c>
      <c r="M128" s="35">
        <f t="shared" si="26"/>
        <v>0</v>
      </c>
      <c r="N128" s="36">
        <f t="shared" si="27"/>
        <v>0</v>
      </c>
      <c r="O128" s="36">
        <f t="shared" si="28"/>
        <v>0</v>
      </c>
      <c r="P128" s="12"/>
    </row>
    <row r="129" spans="1:16" ht="37.5" customHeight="1" x14ac:dyDescent="0.25">
      <c r="A129" s="132" t="s">
        <v>658</v>
      </c>
      <c r="B129" s="44" t="s">
        <v>659</v>
      </c>
      <c r="C129" s="12" t="s">
        <v>32</v>
      </c>
      <c r="D129" s="136">
        <v>100</v>
      </c>
      <c r="E129" s="35">
        <v>2500</v>
      </c>
      <c r="F129" s="35">
        <f t="shared" si="29"/>
        <v>250000</v>
      </c>
      <c r="G129" s="35">
        <f t="shared" si="30"/>
        <v>45000</v>
      </c>
      <c r="H129" s="36">
        <f t="shared" si="31"/>
        <v>295000</v>
      </c>
      <c r="I129" s="12">
        <f>50+50</f>
        <v>100</v>
      </c>
      <c r="J129" s="12">
        <f t="shared" si="32"/>
        <v>0</v>
      </c>
      <c r="K129" s="35">
        <f t="shared" si="24"/>
        <v>250000</v>
      </c>
      <c r="L129" s="35">
        <f t="shared" si="25"/>
        <v>45000</v>
      </c>
      <c r="M129" s="35">
        <f t="shared" si="26"/>
        <v>25000</v>
      </c>
      <c r="N129" s="36">
        <f t="shared" si="27"/>
        <v>270000</v>
      </c>
      <c r="O129" s="36">
        <f t="shared" si="28"/>
        <v>0</v>
      </c>
      <c r="P129" s="12"/>
    </row>
    <row r="130" spans="1:16" ht="37.5" customHeight="1" x14ac:dyDescent="0.25">
      <c r="A130" s="132" t="s">
        <v>660</v>
      </c>
      <c r="B130" s="44" t="s">
        <v>661</v>
      </c>
      <c r="C130" s="12" t="s">
        <v>32</v>
      </c>
      <c r="D130" s="136">
        <v>100</v>
      </c>
      <c r="E130" s="35">
        <v>7500</v>
      </c>
      <c r="F130" s="35">
        <f t="shared" si="29"/>
        <v>750000</v>
      </c>
      <c r="G130" s="35">
        <f t="shared" si="30"/>
        <v>135000</v>
      </c>
      <c r="H130" s="36">
        <f t="shared" si="31"/>
        <v>885000</v>
      </c>
      <c r="I130" s="12">
        <v>100</v>
      </c>
      <c r="J130" s="12">
        <f t="shared" si="32"/>
        <v>0</v>
      </c>
      <c r="K130" s="35">
        <f t="shared" si="24"/>
        <v>750000</v>
      </c>
      <c r="L130" s="35">
        <f t="shared" si="25"/>
        <v>135000</v>
      </c>
      <c r="M130" s="35">
        <f t="shared" si="26"/>
        <v>75000</v>
      </c>
      <c r="N130" s="36">
        <f t="shared" si="27"/>
        <v>810000</v>
      </c>
      <c r="O130" s="36">
        <f t="shared" si="28"/>
        <v>0</v>
      </c>
      <c r="P130" s="12"/>
    </row>
    <row r="131" spans="1:16" ht="37.5" customHeight="1" x14ac:dyDescent="0.25">
      <c r="A131" s="132" t="s">
        <v>662</v>
      </c>
      <c r="B131" s="44" t="s">
        <v>663</v>
      </c>
      <c r="C131" s="12" t="s">
        <v>32</v>
      </c>
      <c r="D131" s="136">
        <v>100</v>
      </c>
      <c r="E131" s="35">
        <v>5000</v>
      </c>
      <c r="F131" s="35">
        <f t="shared" si="29"/>
        <v>500000</v>
      </c>
      <c r="G131" s="35">
        <f t="shared" si="30"/>
        <v>90000</v>
      </c>
      <c r="H131" s="36">
        <f t="shared" si="31"/>
        <v>590000</v>
      </c>
      <c r="I131" s="12">
        <f>50+50</f>
        <v>100</v>
      </c>
      <c r="J131" s="12">
        <f t="shared" si="32"/>
        <v>0</v>
      </c>
      <c r="K131" s="35">
        <f t="shared" si="24"/>
        <v>500000</v>
      </c>
      <c r="L131" s="35">
        <f t="shared" si="25"/>
        <v>90000</v>
      </c>
      <c r="M131" s="35">
        <f t="shared" si="26"/>
        <v>50000</v>
      </c>
      <c r="N131" s="36">
        <f t="shared" si="27"/>
        <v>540000</v>
      </c>
      <c r="O131" s="36">
        <f t="shared" si="28"/>
        <v>0</v>
      </c>
      <c r="P131" s="12"/>
    </row>
    <row r="132" spans="1:16" ht="37.5" customHeight="1" x14ac:dyDescent="0.25">
      <c r="A132" s="12" t="s">
        <v>664</v>
      </c>
      <c r="B132" s="44" t="s">
        <v>665</v>
      </c>
      <c r="C132" s="12" t="s">
        <v>469</v>
      </c>
      <c r="D132" s="34">
        <v>1</v>
      </c>
      <c r="E132" s="35">
        <v>500000</v>
      </c>
      <c r="F132" s="35">
        <f>E132*D132</f>
        <v>500000</v>
      </c>
      <c r="G132" s="35">
        <f>F132*18%</f>
        <v>90000</v>
      </c>
      <c r="H132" s="36">
        <f>F132+G132</f>
        <v>590000</v>
      </c>
      <c r="I132" s="12">
        <v>1</v>
      </c>
      <c r="J132" s="12">
        <f>D132-I132</f>
        <v>0</v>
      </c>
      <c r="K132" s="35">
        <f>I132*E132</f>
        <v>500000</v>
      </c>
      <c r="L132" s="35">
        <f>K132*18%</f>
        <v>90000</v>
      </c>
      <c r="M132" s="35">
        <f>K132*10%</f>
        <v>50000</v>
      </c>
      <c r="N132" s="36">
        <f>SUM(K132:L132)-M132</f>
        <v>540000</v>
      </c>
      <c r="O132" s="36">
        <f>J132*E132</f>
        <v>0</v>
      </c>
      <c r="P132" s="12"/>
    </row>
    <row r="133" spans="1:16" ht="37.5" customHeight="1" x14ac:dyDescent="0.25">
      <c r="A133" s="12" t="s">
        <v>666</v>
      </c>
      <c r="B133" s="44" t="s">
        <v>667</v>
      </c>
      <c r="C133" s="12" t="s">
        <v>469</v>
      </c>
      <c r="D133" s="34">
        <v>1</v>
      </c>
      <c r="E133" s="35">
        <v>1000000</v>
      </c>
      <c r="F133" s="35">
        <f>E133*D133</f>
        <v>1000000</v>
      </c>
      <c r="G133" s="35">
        <f>F133*18%</f>
        <v>180000</v>
      </c>
      <c r="H133" s="36">
        <f>F133+G133</f>
        <v>1180000</v>
      </c>
      <c r="I133" s="12">
        <v>1</v>
      </c>
      <c r="J133" s="12">
        <f>D133-I133</f>
        <v>0</v>
      </c>
      <c r="K133" s="35">
        <f>I133*E133</f>
        <v>1000000</v>
      </c>
      <c r="L133" s="35">
        <f>K133*18%</f>
        <v>180000</v>
      </c>
      <c r="M133" s="35">
        <f>K133*10%</f>
        <v>100000</v>
      </c>
      <c r="N133" s="36">
        <f>SUM(K133:L133)-M133</f>
        <v>1080000</v>
      </c>
      <c r="O133" s="36">
        <f>J133*E133</f>
        <v>0</v>
      </c>
      <c r="P133" s="12"/>
    </row>
    <row r="134" spans="1:16" ht="41.25" customHeight="1" x14ac:dyDescent="0.25">
      <c r="A134" s="12" t="s">
        <v>668</v>
      </c>
      <c r="B134" s="44" t="s">
        <v>401</v>
      </c>
      <c r="C134" s="12"/>
      <c r="D134" s="34"/>
      <c r="E134" s="35"/>
      <c r="F134" s="35"/>
      <c r="G134" s="35"/>
      <c r="H134" s="36"/>
      <c r="I134" s="12"/>
      <c r="J134" s="12"/>
      <c r="K134" s="35"/>
      <c r="L134" s="35"/>
      <c r="M134" s="35"/>
      <c r="N134" s="36"/>
      <c r="O134" s="36"/>
      <c r="P134" s="12"/>
    </row>
    <row r="135" spans="1:16" ht="41.25" customHeight="1" x14ac:dyDescent="0.25">
      <c r="A135" s="132" t="s">
        <v>669</v>
      </c>
      <c r="B135" s="33" t="s">
        <v>670</v>
      </c>
      <c r="C135" s="12"/>
      <c r="D135" s="133"/>
      <c r="E135" s="133"/>
      <c r="F135" s="133"/>
      <c r="G135" s="134"/>
      <c r="H135" s="135"/>
      <c r="I135" s="12"/>
      <c r="J135" s="12"/>
      <c r="K135" s="35"/>
      <c r="L135" s="35"/>
      <c r="M135" s="35"/>
      <c r="N135" s="36"/>
      <c r="O135" s="36"/>
      <c r="P135" s="12"/>
    </row>
    <row r="136" spans="1:16" ht="41.25" customHeight="1" x14ac:dyDescent="0.25">
      <c r="A136" s="132" t="s">
        <v>671</v>
      </c>
      <c r="B136" s="44" t="s">
        <v>672</v>
      </c>
      <c r="C136" s="12" t="s">
        <v>32</v>
      </c>
      <c r="D136" s="136">
        <v>100</v>
      </c>
      <c r="E136" s="35">
        <v>150</v>
      </c>
      <c r="F136" s="35">
        <f>E136*D136</f>
        <v>15000</v>
      </c>
      <c r="G136" s="35">
        <f>F136*18%</f>
        <v>2700</v>
      </c>
      <c r="H136" s="36">
        <f>F136+G136</f>
        <v>17700</v>
      </c>
      <c r="I136" s="12">
        <f>100</f>
        <v>100</v>
      </c>
      <c r="J136" s="12">
        <f>D136-I136</f>
        <v>0</v>
      </c>
      <c r="K136" s="35">
        <f t="shared" ref="K136:K180" si="33">I136*E136</f>
        <v>15000</v>
      </c>
      <c r="L136" s="35">
        <f t="shared" ref="L136:L180" si="34">K136*18%</f>
        <v>2700</v>
      </c>
      <c r="M136" s="35">
        <f t="shared" ref="M136:M180" si="35">K136*10%</f>
        <v>1500</v>
      </c>
      <c r="N136" s="36">
        <f t="shared" ref="N136:N180" si="36">SUM(K136:L136)-M136</f>
        <v>16200</v>
      </c>
      <c r="O136" s="36">
        <f t="shared" ref="O136:O180" si="37">J136*E136</f>
        <v>0</v>
      </c>
      <c r="P136" s="12"/>
    </row>
    <row r="137" spans="1:16" ht="41.25" customHeight="1" x14ac:dyDescent="0.25">
      <c r="A137" s="132" t="s">
        <v>673</v>
      </c>
      <c r="B137" s="44" t="s">
        <v>674</v>
      </c>
      <c r="C137" s="12"/>
      <c r="D137" s="136"/>
      <c r="E137" s="133"/>
      <c r="F137" s="35"/>
      <c r="G137" s="35"/>
      <c r="H137" s="36"/>
      <c r="I137" s="12"/>
      <c r="J137" s="12"/>
      <c r="K137" s="35"/>
      <c r="L137" s="35"/>
      <c r="M137" s="35"/>
      <c r="N137" s="36"/>
      <c r="O137" s="36"/>
      <c r="P137" s="12"/>
    </row>
    <row r="138" spans="1:16" ht="41.25" customHeight="1" x14ac:dyDescent="0.25">
      <c r="A138" s="132" t="s">
        <v>675</v>
      </c>
      <c r="B138" s="44" t="s">
        <v>676</v>
      </c>
      <c r="C138" s="12" t="s">
        <v>32</v>
      </c>
      <c r="D138" s="136">
        <v>100</v>
      </c>
      <c r="E138" s="35">
        <v>200</v>
      </c>
      <c r="F138" s="35">
        <f>E138*D138</f>
        <v>20000</v>
      </c>
      <c r="G138" s="35">
        <f>F138*18%</f>
        <v>3600</v>
      </c>
      <c r="H138" s="36">
        <f>F138+G138</f>
        <v>23600</v>
      </c>
      <c r="I138" s="12">
        <f>100</f>
        <v>100</v>
      </c>
      <c r="J138" s="12">
        <f>D138-I138</f>
        <v>0</v>
      </c>
      <c r="K138" s="35">
        <f t="shared" si="33"/>
        <v>20000</v>
      </c>
      <c r="L138" s="35">
        <f t="shared" si="34"/>
        <v>3600</v>
      </c>
      <c r="M138" s="35">
        <f t="shared" si="35"/>
        <v>2000</v>
      </c>
      <c r="N138" s="36">
        <f t="shared" si="36"/>
        <v>21600</v>
      </c>
      <c r="O138" s="36">
        <f t="shared" si="37"/>
        <v>0</v>
      </c>
      <c r="P138" s="12"/>
    </row>
    <row r="139" spans="1:16" ht="41.25" customHeight="1" x14ac:dyDescent="0.25">
      <c r="A139" s="132" t="s">
        <v>677</v>
      </c>
      <c r="B139" s="44" t="s">
        <v>271</v>
      </c>
      <c r="C139" s="12" t="s">
        <v>32</v>
      </c>
      <c r="D139" s="136">
        <v>100</v>
      </c>
      <c r="E139" s="35">
        <v>200</v>
      </c>
      <c r="F139" s="35">
        <f t="shared" ref="F139:F145" si="38">E139*D139</f>
        <v>20000</v>
      </c>
      <c r="G139" s="35">
        <f t="shared" ref="G139:G145" si="39">F139*18%</f>
        <v>3600</v>
      </c>
      <c r="H139" s="36">
        <f t="shared" ref="H139:H145" si="40">F139+G139</f>
        <v>23600</v>
      </c>
      <c r="I139" s="12">
        <f>100</f>
        <v>100</v>
      </c>
      <c r="J139" s="12">
        <f t="shared" ref="J139:J145" si="41">D139-I139</f>
        <v>0</v>
      </c>
      <c r="K139" s="35">
        <f t="shared" si="33"/>
        <v>20000</v>
      </c>
      <c r="L139" s="35">
        <f t="shared" si="34"/>
        <v>3600</v>
      </c>
      <c r="M139" s="35">
        <f t="shared" si="35"/>
        <v>2000</v>
      </c>
      <c r="N139" s="36">
        <f t="shared" si="36"/>
        <v>21600</v>
      </c>
      <c r="O139" s="36">
        <f t="shared" si="37"/>
        <v>0</v>
      </c>
      <c r="P139" s="12"/>
    </row>
    <row r="140" spans="1:16" ht="41.25" customHeight="1" x14ac:dyDescent="0.25">
      <c r="A140" s="132" t="s">
        <v>678</v>
      </c>
      <c r="B140" s="44" t="s">
        <v>273</v>
      </c>
      <c r="C140" s="12" t="s">
        <v>32</v>
      </c>
      <c r="D140" s="136">
        <v>100</v>
      </c>
      <c r="E140" s="35">
        <v>200</v>
      </c>
      <c r="F140" s="35">
        <f t="shared" si="38"/>
        <v>20000</v>
      </c>
      <c r="G140" s="35">
        <f t="shared" si="39"/>
        <v>3600</v>
      </c>
      <c r="H140" s="36">
        <f t="shared" si="40"/>
        <v>23600</v>
      </c>
      <c r="I140" s="12">
        <f>100</f>
        <v>100</v>
      </c>
      <c r="J140" s="12">
        <f t="shared" si="41"/>
        <v>0</v>
      </c>
      <c r="K140" s="35">
        <f t="shared" si="33"/>
        <v>20000</v>
      </c>
      <c r="L140" s="35">
        <f t="shared" si="34"/>
        <v>3600</v>
      </c>
      <c r="M140" s="35">
        <f t="shared" si="35"/>
        <v>2000</v>
      </c>
      <c r="N140" s="36">
        <f t="shared" si="36"/>
        <v>21600</v>
      </c>
      <c r="O140" s="36">
        <f t="shared" si="37"/>
        <v>0</v>
      </c>
      <c r="P140" s="12"/>
    </row>
    <row r="141" spans="1:16" ht="41.25" customHeight="1" x14ac:dyDescent="0.25">
      <c r="A141" s="132" t="s">
        <v>679</v>
      </c>
      <c r="B141" s="44" t="s">
        <v>680</v>
      </c>
      <c r="C141" s="12" t="s">
        <v>32</v>
      </c>
      <c r="D141" s="136">
        <v>100</v>
      </c>
      <c r="E141" s="35">
        <v>200</v>
      </c>
      <c r="F141" s="35">
        <f t="shared" si="38"/>
        <v>20000</v>
      </c>
      <c r="G141" s="35">
        <f t="shared" si="39"/>
        <v>3600</v>
      </c>
      <c r="H141" s="36">
        <f t="shared" si="40"/>
        <v>23600</v>
      </c>
      <c r="I141" s="12">
        <f>100</f>
        <v>100</v>
      </c>
      <c r="J141" s="12">
        <f t="shared" si="41"/>
        <v>0</v>
      </c>
      <c r="K141" s="35">
        <f t="shared" si="33"/>
        <v>20000</v>
      </c>
      <c r="L141" s="35">
        <f t="shared" si="34"/>
        <v>3600</v>
      </c>
      <c r="M141" s="35">
        <f t="shared" si="35"/>
        <v>2000</v>
      </c>
      <c r="N141" s="36">
        <f t="shared" si="36"/>
        <v>21600</v>
      </c>
      <c r="O141" s="36">
        <f t="shared" si="37"/>
        <v>0</v>
      </c>
      <c r="P141" s="12"/>
    </row>
    <row r="142" spans="1:16" ht="41.25" customHeight="1" x14ac:dyDescent="0.25">
      <c r="A142" s="132" t="s">
        <v>681</v>
      </c>
      <c r="B142" s="44" t="s">
        <v>271</v>
      </c>
      <c r="C142" s="12" t="s">
        <v>32</v>
      </c>
      <c r="D142" s="136">
        <v>100</v>
      </c>
      <c r="E142" s="35">
        <v>200</v>
      </c>
      <c r="F142" s="35">
        <f t="shared" si="38"/>
        <v>20000</v>
      </c>
      <c r="G142" s="35">
        <f t="shared" si="39"/>
        <v>3600</v>
      </c>
      <c r="H142" s="36">
        <f t="shared" si="40"/>
        <v>23600</v>
      </c>
      <c r="I142" s="12">
        <f>100</f>
        <v>100</v>
      </c>
      <c r="J142" s="12">
        <f t="shared" si="41"/>
        <v>0</v>
      </c>
      <c r="K142" s="35">
        <f t="shared" si="33"/>
        <v>20000</v>
      </c>
      <c r="L142" s="35">
        <f t="shared" si="34"/>
        <v>3600</v>
      </c>
      <c r="M142" s="35">
        <f t="shared" si="35"/>
        <v>2000</v>
      </c>
      <c r="N142" s="36">
        <f t="shared" si="36"/>
        <v>21600</v>
      </c>
      <c r="O142" s="36">
        <f t="shared" si="37"/>
        <v>0</v>
      </c>
      <c r="P142" s="12"/>
    </row>
    <row r="143" spans="1:16" ht="41.25" customHeight="1" x14ac:dyDescent="0.25">
      <c r="A143" s="132" t="s">
        <v>682</v>
      </c>
      <c r="B143" s="44" t="s">
        <v>273</v>
      </c>
      <c r="C143" s="12" t="s">
        <v>32</v>
      </c>
      <c r="D143" s="136">
        <v>100</v>
      </c>
      <c r="E143" s="35">
        <v>200</v>
      </c>
      <c r="F143" s="35">
        <f t="shared" si="38"/>
        <v>20000</v>
      </c>
      <c r="G143" s="35">
        <f t="shared" si="39"/>
        <v>3600</v>
      </c>
      <c r="H143" s="36">
        <f t="shared" si="40"/>
        <v>23600</v>
      </c>
      <c r="I143" s="12">
        <f>100</f>
        <v>100</v>
      </c>
      <c r="J143" s="12">
        <f t="shared" si="41"/>
        <v>0</v>
      </c>
      <c r="K143" s="35">
        <f t="shared" si="33"/>
        <v>20000</v>
      </c>
      <c r="L143" s="35">
        <f t="shared" si="34"/>
        <v>3600</v>
      </c>
      <c r="M143" s="35">
        <f t="shared" si="35"/>
        <v>2000</v>
      </c>
      <c r="N143" s="36">
        <f t="shared" si="36"/>
        <v>21600</v>
      </c>
      <c r="O143" s="36">
        <f t="shared" si="37"/>
        <v>0</v>
      </c>
      <c r="P143" s="12"/>
    </row>
    <row r="144" spans="1:16" ht="41.25" customHeight="1" x14ac:dyDescent="0.25">
      <c r="A144" s="132" t="s">
        <v>683</v>
      </c>
      <c r="B144" s="44" t="s">
        <v>275</v>
      </c>
      <c r="C144" s="12" t="s">
        <v>32</v>
      </c>
      <c r="D144" s="136">
        <v>100</v>
      </c>
      <c r="E144" s="35">
        <v>200</v>
      </c>
      <c r="F144" s="35">
        <f t="shared" si="38"/>
        <v>20000</v>
      </c>
      <c r="G144" s="35">
        <f t="shared" si="39"/>
        <v>3600</v>
      </c>
      <c r="H144" s="36">
        <f t="shared" si="40"/>
        <v>23600</v>
      </c>
      <c r="I144" s="12">
        <f>100</f>
        <v>100</v>
      </c>
      <c r="J144" s="12">
        <f t="shared" si="41"/>
        <v>0</v>
      </c>
      <c r="K144" s="35">
        <f t="shared" si="33"/>
        <v>20000</v>
      </c>
      <c r="L144" s="35">
        <f t="shared" si="34"/>
        <v>3600</v>
      </c>
      <c r="M144" s="35">
        <f t="shared" si="35"/>
        <v>2000</v>
      </c>
      <c r="N144" s="36">
        <f t="shared" si="36"/>
        <v>21600</v>
      </c>
      <c r="O144" s="36">
        <f t="shared" si="37"/>
        <v>0</v>
      </c>
      <c r="P144" s="12"/>
    </row>
    <row r="145" spans="1:16" ht="41.25" customHeight="1" x14ac:dyDescent="0.25">
      <c r="A145" s="132" t="s">
        <v>684</v>
      </c>
      <c r="B145" s="44" t="s">
        <v>685</v>
      </c>
      <c r="C145" s="12" t="s">
        <v>32</v>
      </c>
      <c r="D145" s="136">
        <v>100</v>
      </c>
      <c r="E145" s="35">
        <v>200</v>
      </c>
      <c r="F145" s="35">
        <f t="shared" si="38"/>
        <v>20000</v>
      </c>
      <c r="G145" s="35">
        <f t="shared" si="39"/>
        <v>3600</v>
      </c>
      <c r="H145" s="36">
        <f t="shared" si="40"/>
        <v>23600</v>
      </c>
      <c r="I145" s="12">
        <f>100</f>
        <v>100</v>
      </c>
      <c r="J145" s="12">
        <f t="shared" si="41"/>
        <v>0</v>
      </c>
      <c r="K145" s="35">
        <f t="shared" si="33"/>
        <v>20000</v>
      </c>
      <c r="L145" s="35">
        <f t="shared" si="34"/>
        <v>3600</v>
      </c>
      <c r="M145" s="35">
        <f t="shared" si="35"/>
        <v>2000</v>
      </c>
      <c r="N145" s="36">
        <f t="shared" si="36"/>
        <v>21600</v>
      </c>
      <c r="O145" s="36">
        <f t="shared" si="37"/>
        <v>0</v>
      </c>
      <c r="P145" s="12"/>
    </row>
    <row r="146" spans="1:16" ht="41.25" customHeight="1" x14ac:dyDescent="0.25">
      <c r="A146" s="137" t="s">
        <v>673</v>
      </c>
      <c r="B146" s="33" t="s">
        <v>686</v>
      </c>
      <c r="C146" s="12"/>
      <c r="D146" s="133"/>
      <c r="E146" s="133"/>
      <c r="F146" s="133"/>
      <c r="G146" s="134"/>
      <c r="H146" s="135"/>
      <c r="I146" s="12"/>
      <c r="J146" s="12"/>
      <c r="K146" s="35"/>
      <c r="L146" s="35"/>
      <c r="M146" s="35"/>
      <c r="N146" s="36"/>
      <c r="O146" s="36"/>
      <c r="P146" s="12"/>
    </row>
    <row r="147" spans="1:16" ht="41.25" customHeight="1" x14ac:dyDescent="0.25">
      <c r="A147" s="132" t="s">
        <v>675</v>
      </c>
      <c r="B147" s="44" t="s">
        <v>687</v>
      </c>
      <c r="C147" s="12" t="s">
        <v>32</v>
      </c>
      <c r="D147" s="136">
        <v>100</v>
      </c>
      <c r="E147" s="35">
        <v>250</v>
      </c>
      <c r="F147" s="35">
        <f>E147*D147</f>
        <v>25000</v>
      </c>
      <c r="G147" s="35">
        <f>F147*18%</f>
        <v>4500</v>
      </c>
      <c r="H147" s="36">
        <f>F147+G147</f>
        <v>29500</v>
      </c>
      <c r="I147" s="12">
        <f>100</f>
        <v>100</v>
      </c>
      <c r="J147" s="12">
        <f>D147-I147</f>
        <v>0</v>
      </c>
      <c r="K147" s="35">
        <f t="shared" si="33"/>
        <v>25000</v>
      </c>
      <c r="L147" s="35">
        <f t="shared" si="34"/>
        <v>4500</v>
      </c>
      <c r="M147" s="35">
        <f t="shared" si="35"/>
        <v>2500</v>
      </c>
      <c r="N147" s="36">
        <f t="shared" si="36"/>
        <v>27000</v>
      </c>
      <c r="O147" s="36">
        <f t="shared" si="37"/>
        <v>0</v>
      </c>
      <c r="P147" s="12"/>
    </row>
    <row r="148" spans="1:16" ht="41.25" customHeight="1" x14ac:dyDescent="0.25">
      <c r="A148" s="132" t="s">
        <v>677</v>
      </c>
      <c r="B148" s="44" t="s">
        <v>688</v>
      </c>
      <c r="C148" s="12" t="s">
        <v>32</v>
      </c>
      <c r="D148" s="136">
        <v>100</v>
      </c>
      <c r="E148" s="35">
        <v>2500</v>
      </c>
      <c r="F148" s="35">
        <f>E148*D148</f>
        <v>250000</v>
      </c>
      <c r="G148" s="35">
        <f>F148*18%</f>
        <v>45000</v>
      </c>
      <c r="H148" s="36">
        <f>F148+G148</f>
        <v>295000</v>
      </c>
      <c r="I148" s="12">
        <f>100</f>
        <v>100</v>
      </c>
      <c r="J148" s="12">
        <f>D148-I148</f>
        <v>0</v>
      </c>
      <c r="K148" s="35">
        <f t="shared" si="33"/>
        <v>250000</v>
      </c>
      <c r="L148" s="35">
        <f t="shared" si="34"/>
        <v>45000</v>
      </c>
      <c r="M148" s="35">
        <f t="shared" si="35"/>
        <v>25000</v>
      </c>
      <c r="N148" s="36">
        <f t="shared" si="36"/>
        <v>270000</v>
      </c>
      <c r="O148" s="36">
        <f t="shared" si="37"/>
        <v>0</v>
      </c>
      <c r="P148" s="12"/>
    </row>
    <row r="149" spans="1:16" ht="41.25" customHeight="1" x14ac:dyDescent="0.25">
      <c r="A149" s="132" t="s">
        <v>678</v>
      </c>
      <c r="B149" s="44" t="s">
        <v>689</v>
      </c>
      <c r="C149" s="12" t="s">
        <v>32</v>
      </c>
      <c r="D149" s="136">
        <v>100</v>
      </c>
      <c r="E149" s="35">
        <v>500</v>
      </c>
      <c r="F149" s="35">
        <f>E149*D149</f>
        <v>50000</v>
      </c>
      <c r="G149" s="35">
        <f>F149*18%</f>
        <v>9000</v>
      </c>
      <c r="H149" s="36">
        <f>F149+G149</f>
        <v>59000</v>
      </c>
      <c r="I149" s="12">
        <f>100</f>
        <v>100</v>
      </c>
      <c r="J149" s="12">
        <f>D149-I149</f>
        <v>0</v>
      </c>
      <c r="K149" s="35">
        <f t="shared" si="33"/>
        <v>50000</v>
      </c>
      <c r="L149" s="35">
        <f t="shared" si="34"/>
        <v>9000</v>
      </c>
      <c r="M149" s="35">
        <f t="shared" si="35"/>
        <v>5000</v>
      </c>
      <c r="N149" s="36">
        <f t="shared" si="36"/>
        <v>54000</v>
      </c>
      <c r="O149" s="36">
        <f t="shared" si="37"/>
        <v>0</v>
      </c>
      <c r="P149" s="12"/>
    </row>
    <row r="150" spans="1:16" ht="41.25" customHeight="1" x14ac:dyDescent="0.25">
      <c r="A150" s="132" t="s">
        <v>679</v>
      </c>
      <c r="B150" s="44" t="s">
        <v>690</v>
      </c>
      <c r="C150" s="12" t="s">
        <v>32</v>
      </c>
      <c r="D150" s="136">
        <v>100</v>
      </c>
      <c r="E150" s="35">
        <v>2000</v>
      </c>
      <c r="F150" s="35">
        <f>E150*D150</f>
        <v>200000</v>
      </c>
      <c r="G150" s="35">
        <f>F150*18%</f>
        <v>36000</v>
      </c>
      <c r="H150" s="36">
        <f>F150+G150</f>
        <v>236000</v>
      </c>
      <c r="I150" s="12">
        <f>100</f>
        <v>100</v>
      </c>
      <c r="J150" s="12">
        <f>D150-I150</f>
        <v>0</v>
      </c>
      <c r="K150" s="35">
        <f t="shared" si="33"/>
        <v>200000</v>
      </c>
      <c r="L150" s="35">
        <f t="shared" si="34"/>
        <v>36000</v>
      </c>
      <c r="M150" s="35">
        <f t="shared" si="35"/>
        <v>20000</v>
      </c>
      <c r="N150" s="36">
        <f t="shared" si="36"/>
        <v>216000</v>
      </c>
      <c r="O150" s="36">
        <f t="shared" si="37"/>
        <v>0</v>
      </c>
      <c r="P150" s="12"/>
    </row>
    <row r="151" spans="1:16" ht="42.75" customHeight="1" x14ac:dyDescent="0.25">
      <c r="A151" s="12" t="s">
        <v>691</v>
      </c>
      <c r="B151" s="46" t="s">
        <v>413</v>
      </c>
      <c r="C151" s="12" t="s">
        <v>692</v>
      </c>
      <c r="D151" s="34"/>
      <c r="E151" s="35"/>
      <c r="F151" s="35"/>
      <c r="G151" s="35"/>
      <c r="H151" s="36"/>
      <c r="I151" s="12"/>
      <c r="J151" s="12"/>
      <c r="K151" s="35"/>
      <c r="L151" s="35"/>
      <c r="M151" s="35"/>
      <c r="N151" s="36"/>
      <c r="O151" s="36"/>
      <c r="P151" s="12"/>
    </row>
    <row r="152" spans="1:16" ht="42.75" customHeight="1" x14ac:dyDescent="0.25">
      <c r="A152" s="132" t="s">
        <v>693</v>
      </c>
      <c r="B152" s="46" t="s">
        <v>520</v>
      </c>
      <c r="C152" s="12"/>
      <c r="D152" s="133"/>
      <c r="E152" s="133"/>
      <c r="F152" s="133"/>
      <c r="G152" s="134"/>
      <c r="H152" s="135"/>
      <c r="I152" s="12"/>
      <c r="J152" s="12"/>
      <c r="K152" s="35">
        <f t="shared" si="33"/>
        <v>0</v>
      </c>
      <c r="L152" s="35">
        <f t="shared" si="34"/>
        <v>0</v>
      </c>
      <c r="M152" s="35">
        <f t="shared" si="35"/>
        <v>0</v>
      </c>
      <c r="N152" s="36">
        <f t="shared" si="36"/>
        <v>0</v>
      </c>
      <c r="O152" s="36">
        <f t="shared" si="37"/>
        <v>0</v>
      </c>
      <c r="P152" s="12"/>
    </row>
    <row r="153" spans="1:16" ht="42.75" customHeight="1" x14ac:dyDescent="0.25">
      <c r="A153" s="132" t="s">
        <v>694</v>
      </c>
      <c r="B153" s="44" t="s">
        <v>695</v>
      </c>
      <c r="C153" s="12" t="s">
        <v>32</v>
      </c>
      <c r="D153" s="136">
        <v>100</v>
      </c>
      <c r="E153" s="35">
        <v>500</v>
      </c>
      <c r="F153" s="35">
        <f>E153*D153</f>
        <v>50000</v>
      </c>
      <c r="G153" s="35">
        <f>F153*18%</f>
        <v>9000</v>
      </c>
      <c r="H153" s="36">
        <f>F153+G153</f>
        <v>59000</v>
      </c>
      <c r="I153" s="12">
        <f>100</f>
        <v>100</v>
      </c>
      <c r="J153" s="12">
        <f>D153-I153</f>
        <v>0</v>
      </c>
      <c r="K153" s="35">
        <f t="shared" si="33"/>
        <v>50000</v>
      </c>
      <c r="L153" s="35">
        <f t="shared" si="34"/>
        <v>9000</v>
      </c>
      <c r="M153" s="35">
        <f t="shared" si="35"/>
        <v>5000</v>
      </c>
      <c r="N153" s="36">
        <f t="shared" si="36"/>
        <v>54000</v>
      </c>
      <c r="O153" s="36">
        <f t="shared" si="37"/>
        <v>0</v>
      </c>
      <c r="P153" s="12"/>
    </row>
    <row r="154" spans="1:16" ht="42.75" customHeight="1" x14ac:dyDescent="0.25">
      <c r="A154" s="132" t="s">
        <v>696</v>
      </c>
      <c r="B154" s="44" t="s">
        <v>697</v>
      </c>
      <c r="C154" s="12" t="s">
        <v>32</v>
      </c>
      <c r="D154" s="136">
        <v>100</v>
      </c>
      <c r="E154" s="35">
        <v>500</v>
      </c>
      <c r="F154" s="35">
        <f t="shared" ref="F154:F175" si="42">E154*D154</f>
        <v>50000</v>
      </c>
      <c r="G154" s="35">
        <f t="shared" ref="G154:G175" si="43">F154*18%</f>
        <v>9000</v>
      </c>
      <c r="H154" s="36">
        <f t="shared" ref="H154:H175" si="44">F154+G154</f>
        <v>59000</v>
      </c>
      <c r="I154" s="12">
        <f>80+20</f>
        <v>100</v>
      </c>
      <c r="J154" s="12">
        <f t="shared" ref="J154:J175" si="45">D154-I154</f>
        <v>0</v>
      </c>
      <c r="K154" s="35">
        <f t="shared" si="33"/>
        <v>50000</v>
      </c>
      <c r="L154" s="35">
        <f t="shared" si="34"/>
        <v>9000</v>
      </c>
      <c r="M154" s="35">
        <f t="shared" si="35"/>
        <v>5000</v>
      </c>
      <c r="N154" s="36">
        <f t="shared" si="36"/>
        <v>54000</v>
      </c>
      <c r="O154" s="36">
        <f t="shared" si="37"/>
        <v>0</v>
      </c>
      <c r="P154" s="12"/>
    </row>
    <row r="155" spans="1:16" ht="42.75" customHeight="1" x14ac:dyDescent="0.25">
      <c r="A155" s="132" t="s">
        <v>698</v>
      </c>
      <c r="B155" s="44" t="s">
        <v>699</v>
      </c>
      <c r="C155" s="12" t="s">
        <v>32</v>
      </c>
      <c r="D155" s="136">
        <v>100</v>
      </c>
      <c r="E155" s="35">
        <v>500</v>
      </c>
      <c r="F155" s="35">
        <f t="shared" si="42"/>
        <v>50000</v>
      </c>
      <c r="G155" s="35">
        <f t="shared" si="43"/>
        <v>9000</v>
      </c>
      <c r="H155" s="36">
        <f t="shared" si="44"/>
        <v>59000</v>
      </c>
      <c r="I155" s="12">
        <f>50+50</f>
        <v>100</v>
      </c>
      <c r="J155" s="12">
        <f t="shared" si="45"/>
        <v>0</v>
      </c>
      <c r="K155" s="35">
        <f t="shared" si="33"/>
        <v>50000</v>
      </c>
      <c r="L155" s="35">
        <f t="shared" si="34"/>
        <v>9000</v>
      </c>
      <c r="M155" s="35">
        <f t="shared" si="35"/>
        <v>5000</v>
      </c>
      <c r="N155" s="36">
        <f t="shared" si="36"/>
        <v>54000</v>
      </c>
      <c r="O155" s="36">
        <f t="shared" si="37"/>
        <v>0</v>
      </c>
      <c r="P155" s="12"/>
    </row>
    <row r="156" spans="1:16" ht="42.75" customHeight="1" x14ac:dyDescent="0.25">
      <c r="A156" s="132" t="s">
        <v>700</v>
      </c>
      <c r="B156" s="44" t="s">
        <v>701</v>
      </c>
      <c r="C156" s="12" t="s">
        <v>32</v>
      </c>
      <c r="D156" s="136">
        <v>100</v>
      </c>
      <c r="E156" s="35">
        <v>500</v>
      </c>
      <c r="F156" s="35">
        <f t="shared" si="42"/>
        <v>50000</v>
      </c>
      <c r="G156" s="35">
        <f t="shared" si="43"/>
        <v>9000</v>
      </c>
      <c r="H156" s="36">
        <f t="shared" si="44"/>
        <v>59000</v>
      </c>
      <c r="I156" s="12">
        <f>100</f>
        <v>100</v>
      </c>
      <c r="J156" s="12">
        <f t="shared" si="45"/>
        <v>0</v>
      </c>
      <c r="K156" s="35">
        <f t="shared" si="33"/>
        <v>50000</v>
      </c>
      <c r="L156" s="35">
        <f t="shared" si="34"/>
        <v>9000</v>
      </c>
      <c r="M156" s="35">
        <f t="shared" si="35"/>
        <v>5000</v>
      </c>
      <c r="N156" s="36">
        <f t="shared" si="36"/>
        <v>54000</v>
      </c>
      <c r="O156" s="36">
        <f t="shared" si="37"/>
        <v>0</v>
      </c>
      <c r="P156" s="12"/>
    </row>
    <row r="157" spans="1:16" ht="42.75" customHeight="1" x14ac:dyDescent="0.25">
      <c r="A157" s="132" t="s">
        <v>702</v>
      </c>
      <c r="B157" s="44" t="s">
        <v>703</v>
      </c>
      <c r="C157" s="12" t="s">
        <v>32</v>
      </c>
      <c r="D157" s="136">
        <v>100</v>
      </c>
      <c r="E157" s="35">
        <v>500</v>
      </c>
      <c r="F157" s="35">
        <f t="shared" si="42"/>
        <v>50000</v>
      </c>
      <c r="G157" s="35">
        <f t="shared" si="43"/>
        <v>9000</v>
      </c>
      <c r="H157" s="36">
        <f t="shared" si="44"/>
        <v>59000</v>
      </c>
      <c r="I157" s="12">
        <f>50+50</f>
        <v>100</v>
      </c>
      <c r="J157" s="12">
        <f t="shared" si="45"/>
        <v>0</v>
      </c>
      <c r="K157" s="35">
        <f t="shared" si="33"/>
        <v>50000</v>
      </c>
      <c r="L157" s="35">
        <f t="shared" si="34"/>
        <v>9000</v>
      </c>
      <c r="M157" s="35">
        <f t="shared" si="35"/>
        <v>5000</v>
      </c>
      <c r="N157" s="36">
        <f t="shared" si="36"/>
        <v>54000</v>
      </c>
      <c r="O157" s="36">
        <f t="shared" si="37"/>
        <v>0</v>
      </c>
      <c r="P157" s="12"/>
    </row>
    <row r="158" spans="1:16" ht="42.75" customHeight="1" x14ac:dyDescent="0.25">
      <c r="A158" s="132" t="s">
        <v>704</v>
      </c>
      <c r="B158" s="44" t="s">
        <v>705</v>
      </c>
      <c r="C158" s="12" t="s">
        <v>32</v>
      </c>
      <c r="D158" s="136">
        <v>100</v>
      </c>
      <c r="E158" s="35">
        <v>500</v>
      </c>
      <c r="F158" s="35">
        <f t="shared" si="42"/>
        <v>50000</v>
      </c>
      <c r="G158" s="35">
        <f t="shared" si="43"/>
        <v>9000</v>
      </c>
      <c r="H158" s="36">
        <f t="shared" si="44"/>
        <v>59000</v>
      </c>
      <c r="I158" s="12">
        <f>75+25</f>
        <v>100</v>
      </c>
      <c r="J158" s="12">
        <f t="shared" si="45"/>
        <v>0</v>
      </c>
      <c r="K158" s="35">
        <f t="shared" si="33"/>
        <v>50000</v>
      </c>
      <c r="L158" s="35">
        <f t="shared" si="34"/>
        <v>9000</v>
      </c>
      <c r="M158" s="35">
        <f t="shared" si="35"/>
        <v>5000</v>
      </c>
      <c r="N158" s="36">
        <f t="shared" si="36"/>
        <v>54000</v>
      </c>
      <c r="O158" s="36">
        <f t="shared" si="37"/>
        <v>0</v>
      </c>
      <c r="P158" s="12"/>
    </row>
    <row r="159" spans="1:16" ht="42.75" customHeight="1" x14ac:dyDescent="0.25">
      <c r="A159" s="132" t="s">
        <v>706</v>
      </c>
      <c r="B159" s="44" t="s">
        <v>707</v>
      </c>
      <c r="C159" s="12" t="s">
        <v>32</v>
      </c>
      <c r="D159" s="136">
        <v>100</v>
      </c>
      <c r="E159" s="35">
        <v>500</v>
      </c>
      <c r="F159" s="35">
        <f t="shared" si="42"/>
        <v>50000</v>
      </c>
      <c r="G159" s="35">
        <f t="shared" si="43"/>
        <v>9000</v>
      </c>
      <c r="H159" s="36">
        <f t="shared" si="44"/>
        <v>59000</v>
      </c>
      <c r="I159" s="12">
        <f>75+25</f>
        <v>100</v>
      </c>
      <c r="J159" s="12">
        <f t="shared" si="45"/>
        <v>0</v>
      </c>
      <c r="K159" s="35">
        <f t="shared" si="33"/>
        <v>50000</v>
      </c>
      <c r="L159" s="35">
        <f t="shared" si="34"/>
        <v>9000</v>
      </c>
      <c r="M159" s="35">
        <f t="shared" si="35"/>
        <v>5000</v>
      </c>
      <c r="N159" s="36">
        <f t="shared" si="36"/>
        <v>54000</v>
      </c>
      <c r="O159" s="36">
        <f t="shared" si="37"/>
        <v>0</v>
      </c>
      <c r="P159" s="12"/>
    </row>
    <row r="160" spans="1:16" ht="42.75" customHeight="1" x14ac:dyDescent="0.25">
      <c r="A160" s="132" t="s">
        <v>708</v>
      </c>
      <c r="B160" s="44" t="s">
        <v>709</v>
      </c>
      <c r="C160" s="12" t="s">
        <v>32</v>
      </c>
      <c r="D160" s="136">
        <v>100</v>
      </c>
      <c r="E160" s="35">
        <v>500</v>
      </c>
      <c r="F160" s="35">
        <f t="shared" si="42"/>
        <v>50000</v>
      </c>
      <c r="G160" s="35">
        <f t="shared" si="43"/>
        <v>9000</v>
      </c>
      <c r="H160" s="36">
        <f t="shared" si="44"/>
        <v>59000</v>
      </c>
      <c r="I160" s="12">
        <f>100</f>
        <v>100</v>
      </c>
      <c r="J160" s="12">
        <f t="shared" si="45"/>
        <v>0</v>
      </c>
      <c r="K160" s="35">
        <f t="shared" si="33"/>
        <v>50000</v>
      </c>
      <c r="L160" s="35">
        <f t="shared" si="34"/>
        <v>9000</v>
      </c>
      <c r="M160" s="35">
        <f t="shared" si="35"/>
        <v>5000</v>
      </c>
      <c r="N160" s="36">
        <f t="shared" si="36"/>
        <v>54000</v>
      </c>
      <c r="O160" s="36">
        <f t="shared" si="37"/>
        <v>0</v>
      </c>
      <c r="P160" s="12"/>
    </row>
    <row r="161" spans="1:16" ht="42.75" customHeight="1" x14ac:dyDescent="0.25">
      <c r="A161" s="132" t="s">
        <v>710</v>
      </c>
      <c r="B161" s="44" t="s">
        <v>711</v>
      </c>
      <c r="C161" s="12" t="s">
        <v>32</v>
      </c>
      <c r="D161" s="136">
        <v>100</v>
      </c>
      <c r="E161" s="35">
        <v>500</v>
      </c>
      <c r="F161" s="35">
        <f t="shared" si="42"/>
        <v>50000</v>
      </c>
      <c r="G161" s="35">
        <f t="shared" si="43"/>
        <v>9000</v>
      </c>
      <c r="H161" s="36">
        <f t="shared" si="44"/>
        <v>59000</v>
      </c>
      <c r="I161" s="12">
        <f>50+50</f>
        <v>100</v>
      </c>
      <c r="J161" s="12">
        <f t="shared" si="45"/>
        <v>0</v>
      </c>
      <c r="K161" s="35">
        <f t="shared" si="33"/>
        <v>50000</v>
      </c>
      <c r="L161" s="35">
        <f t="shared" si="34"/>
        <v>9000</v>
      </c>
      <c r="M161" s="35">
        <f t="shared" si="35"/>
        <v>5000</v>
      </c>
      <c r="N161" s="36">
        <f t="shared" si="36"/>
        <v>54000</v>
      </c>
      <c r="O161" s="36">
        <f t="shared" si="37"/>
        <v>0</v>
      </c>
      <c r="P161" s="12"/>
    </row>
    <row r="162" spans="1:16" ht="42.75" customHeight="1" x14ac:dyDescent="0.25">
      <c r="A162" s="132" t="s">
        <v>712</v>
      </c>
      <c r="B162" s="44" t="s">
        <v>713</v>
      </c>
      <c r="C162" s="12" t="s">
        <v>32</v>
      </c>
      <c r="D162" s="136">
        <v>100</v>
      </c>
      <c r="E162" s="35">
        <v>500</v>
      </c>
      <c r="F162" s="35">
        <f t="shared" si="42"/>
        <v>50000</v>
      </c>
      <c r="G162" s="35">
        <f t="shared" si="43"/>
        <v>9000</v>
      </c>
      <c r="H162" s="36">
        <f t="shared" si="44"/>
        <v>59000</v>
      </c>
      <c r="I162" s="12">
        <f>100</f>
        <v>100</v>
      </c>
      <c r="J162" s="12">
        <f t="shared" si="45"/>
        <v>0</v>
      </c>
      <c r="K162" s="35">
        <f t="shared" si="33"/>
        <v>50000</v>
      </c>
      <c r="L162" s="35">
        <f t="shared" si="34"/>
        <v>9000</v>
      </c>
      <c r="M162" s="35">
        <f t="shared" si="35"/>
        <v>5000</v>
      </c>
      <c r="N162" s="36">
        <f t="shared" si="36"/>
        <v>54000</v>
      </c>
      <c r="O162" s="36">
        <f t="shared" si="37"/>
        <v>0</v>
      </c>
      <c r="P162" s="12"/>
    </row>
    <row r="163" spans="1:16" ht="42.75" customHeight="1" x14ac:dyDescent="0.25">
      <c r="A163" s="132" t="s">
        <v>714</v>
      </c>
      <c r="B163" s="44" t="s">
        <v>715</v>
      </c>
      <c r="C163" s="12" t="s">
        <v>32</v>
      </c>
      <c r="D163" s="136">
        <v>100</v>
      </c>
      <c r="E163" s="35">
        <v>500</v>
      </c>
      <c r="F163" s="35">
        <f t="shared" si="42"/>
        <v>50000</v>
      </c>
      <c r="G163" s="35">
        <f t="shared" si="43"/>
        <v>9000</v>
      </c>
      <c r="H163" s="36">
        <f t="shared" si="44"/>
        <v>59000</v>
      </c>
      <c r="I163" s="12">
        <f>50+50</f>
        <v>100</v>
      </c>
      <c r="J163" s="12">
        <f t="shared" si="45"/>
        <v>0</v>
      </c>
      <c r="K163" s="35">
        <f t="shared" si="33"/>
        <v>50000</v>
      </c>
      <c r="L163" s="35">
        <f t="shared" si="34"/>
        <v>9000</v>
      </c>
      <c r="M163" s="35">
        <f t="shared" si="35"/>
        <v>5000</v>
      </c>
      <c r="N163" s="36">
        <f t="shared" si="36"/>
        <v>54000</v>
      </c>
      <c r="O163" s="36">
        <f t="shared" si="37"/>
        <v>0</v>
      </c>
      <c r="P163" s="12"/>
    </row>
    <row r="164" spans="1:16" ht="42.75" customHeight="1" x14ac:dyDescent="0.25">
      <c r="A164" s="132" t="s">
        <v>716</v>
      </c>
      <c r="B164" s="46" t="s">
        <v>526</v>
      </c>
      <c r="C164" s="12"/>
      <c r="D164" s="136"/>
      <c r="E164" s="35"/>
      <c r="F164" s="35"/>
      <c r="G164" s="35"/>
      <c r="H164" s="36"/>
      <c r="I164" s="12"/>
      <c r="J164" s="12"/>
      <c r="K164" s="35"/>
      <c r="L164" s="35"/>
      <c r="M164" s="35"/>
      <c r="N164" s="36"/>
      <c r="O164" s="36"/>
      <c r="P164" s="12"/>
    </row>
    <row r="165" spans="1:16" ht="42.75" customHeight="1" x14ac:dyDescent="0.25">
      <c r="A165" s="132" t="s">
        <v>717</v>
      </c>
      <c r="B165" s="44" t="s">
        <v>695</v>
      </c>
      <c r="C165" s="12" t="s">
        <v>32</v>
      </c>
      <c r="D165" s="136">
        <v>100</v>
      </c>
      <c r="E165" s="35">
        <v>1500</v>
      </c>
      <c r="F165" s="35">
        <f t="shared" si="42"/>
        <v>150000</v>
      </c>
      <c r="G165" s="35">
        <f t="shared" si="43"/>
        <v>27000</v>
      </c>
      <c r="H165" s="36">
        <f t="shared" si="44"/>
        <v>177000</v>
      </c>
      <c r="I165" s="12">
        <f>100</f>
        <v>100</v>
      </c>
      <c r="J165" s="12">
        <f t="shared" si="45"/>
        <v>0</v>
      </c>
      <c r="K165" s="35">
        <f t="shared" si="33"/>
        <v>150000</v>
      </c>
      <c r="L165" s="35">
        <f t="shared" si="34"/>
        <v>27000</v>
      </c>
      <c r="M165" s="35">
        <f t="shared" si="35"/>
        <v>15000</v>
      </c>
      <c r="N165" s="36">
        <f t="shared" si="36"/>
        <v>162000</v>
      </c>
      <c r="O165" s="36">
        <f t="shared" si="37"/>
        <v>0</v>
      </c>
      <c r="P165" s="12"/>
    </row>
    <row r="166" spans="1:16" ht="42.75" customHeight="1" x14ac:dyDescent="0.25">
      <c r="A166" s="132" t="s">
        <v>718</v>
      </c>
      <c r="B166" s="44" t="s">
        <v>697</v>
      </c>
      <c r="C166" s="12" t="s">
        <v>32</v>
      </c>
      <c r="D166" s="136">
        <v>100</v>
      </c>
      <c r="E166" s="35">
        <v>1500</v>
      </c>
      <c r="F166" s="35">
        <f t="shared" si="42"/>
        <v>150000</v>
      </c>
      <c r="G166" s="35">
        <f t="shared" si="43"/>
        <v>27000</v>
      </c>
      <c r="H166" s="36">
        <f t="shared" si="44"/>
        <v>177000</v>
      </c>
      <c r="I166" s="12">
        <f>70+30</f>
        <v>100</v>
      </c>
      <c r="J166" s="12">
        <f t="shared" si="45"/>
        <v>0</v>
      </c>
      <c r="K166" s="35">
        <f t="shared" si="33"/>
        <v>150000</v>
      </c>
      <c r="L166" s="35">
        <f t="shared" si="34"/>
        <v>27000</v>
      </c>
      <c r="M166" s="35">
        <f t="shared" si="35"/>
        <v>15000</v>
      </c>
      <c r="N166" s="36">
        <f t="shared" si="36"/>
        <v>162000</v>
      </c>
      <c r="O166" s="36">
        <f t="shared" si="37"/>
        <v>0</v>
      </c>
      <c r="P166" s="12"/>
    </row>
    <row r="167" spans="1:16" ht="42.75" customHeight="1" x14ac:dyDescent="0.25">
      <c r="A167" s="132" t="s">
        <v>719</v>
      </c>
      <c r="B167" s="44" t="s">
        <v>699</v>
      </c>
      <c r="C167" s="12" t="s">
        <v>32</v>
      </c>
      <c r="D167" s="136">
        <v>100</v>
      </c>
      <c r="E167" s="35">
        <v>1500</v>
      </c>
      <c r="F167" s="35">
        <f t="shared" si="42"/>
        <v>150000</v>
      </c>
      <c r="G167" s="35">
        <f t="shared" si="43"/>
        <v>27000</v>
      </c>
      <c r="H167" s="36">
        <f t="shared" si="44"/>
        <v>177000</v>
      </c>
      <c r="I167" s="12">
        <f>40+35+5+20</f>
        <v>100</v>
      </c>
      <c r="J167" s="12">
        <f t="shared" si="45"/>
        <v>0</v>
      </c>
      <c r="K167" s="35">
        <f t="shared" si="33"/>
        <v>150000</v>
      </c>
      <c r="L167" s="35">
        <f t="shared" si="34"/>
        <v>27000</v>
      </c>
      <c r="M167" s="35">
        <f t="shared" si="35"/>
        <v>15000</v>
      </c>
      <c r="N167" s="36">
        <f t="shared" si="36"/>
        <v>162000</v>
      </c>
      <c r="O167" s="36">
        <f t="shared" si="37"/>
        <v>0</v>
      </c>
      <c r="P167" s="12"/>
    </row>
    <row r="168" spans="1:16" ht="42.75" customHeight="1" x14ac:dyDescent="0.25">
      <c r="A168" s="132" t="s">
        <v>720</v>
      </c>
      <c r="B168" s="44" t="s">
        <v>701</v>
      </c>
      <c r="C168" s="12" t="s">
        <v>32</v>
      </c>
      <c r="D168" s="136">
        <v>100</v>
      </c>
      <c r="E168" s="35">
        <v>1500</v>
      </c>
      <c r="F168" s="35">
        <f t="shared" si="42"/>
        <v>150000</v>
      </c>
      <c r="G168" s="35">
        <f t="shared" si="43"/>
        <v>27000</v>
      </c>
      <c r="H168" s="36">
        <f t="shared" si="44"/>
        <v>177000</v>
      </c>
      <c r="I168" s="12">
        <f>25+15+35+5+20</f>
        <v>100</v>
      </c>
      <c r="J168" s="12">
        <f t="shared" si="45"/>
        <v>0</v>
      </c>
      <c r="K168" s="35">
        <f t="shared" si="33"/>
        <v>150000</v>
      </c>
      <c r="L168" s="35">
        <f t="shared" si="34"/>
        <v>27000</v>
      </c>
      <c r="M168" s="35">
        <f t="shared" si="35"/>
        <v>15000</v>
      </c>
      <c r="N168" s="36">
        <f t="shared" si="36"/>
        <v>162000</v>
      </c>
      <c r="O168" s="36">
        <f t="shared" si="37"/>
        <v>0</v>
      </c>
      <c r="P168" s="12"/>
    </row>
    <row r="169" spans="1:16" ht="42.75" customHeight="1" x14ac:dyDescent="0.25">
      <c r="A169" s="132" t="s">
        <v>721</v>
      </c>
      <c r="B169" s="44" t="s">
        <v>703</v>
      </c>
      <c r="C169" s="12" t="s">
        <v>32</v>
      </c>
      <c r="D169" s="136">
        <v>100</v>
      </c>
      <c r="E169" s="35">
        <v>1500</v>
      </c>
      <c r="F169" s="35">
        <f t="shared" si="42"/>
        <v>150000</v>
      </c>
      <c r="G169" s="35">
        <f t="shared" si="43"/>
        <v>27000</v>
      </c>
      <c r="H169" s="36">
        <f t="shared" si="44"/>
        <v>177000</v>
      </c>
      <c r="I169" s="12">
        <f>25+15+35+5+20</f>
        <v>100</v>
      </c>
      <c r="J169" s="12">
        <f t="shared" si="45"/>
        <v>0</v>
      </c>
      <c r="K169" s="35">
        <f t="shared" si="33"/>
        <v>150000</v>
      </c>
      <c r="L169" s="35">
        <f t="shared" si="34"/>
        <v>27000</v>
      </c>
      <c r="M169" s="35">
        <f t="shared" si="35"/>
        <v>15000</v>
      </c>
      <c r="N169" s="36">
        <f t="shared" si="36"/>
        <v>162000</v>
      </c>
      <c r="O169" s="36">
        <f t="shared" si="37"/>
        <v>0</v>
      </c>
      <c r="P169" s="12"/>
    </row>
    <row r="170" spans="1:16" ht="42.75" customHeight="1" x14ac:dyDescent="0.25">
      <c r="A170" s="132" t="s">
        <v>722</v>
      </c>
      <c r="B170" s="44" t="s">
        <v>705</v>
      </c>
      <c r="C170" s="12" t="s">
        <v>32</v>
      </c>
      <c r="D170" s="136">
        <v>100</v>
      </c>
      <c r="E170" s="35">
        <v>1500</v>
      </c>
      <c r="F170" s="35">
        <f t="shared" si="42"/>
        <v>150000</v>
      </c>
      <c r="G170" s="35">
        <f t="shared" si="43"/>
        <v>27000</v>
      </c>
      <c r="H170" s="36">
        <f t="shared" si="44"/>
        <v>177000</v>
      </c>
      <c r="I170" s="12">
        <f>70+30</f>
        <v>100</v>
      </c>
      <c r="J170" s="12">
        <f t="shared" si="45"/>
        <v>0</v>
      </c>
      <c r="K170" s="35">
        <f t="shared" si="33"/>
        <v>150000</v>
      </c>
      <c r="L170" s="35">
        <f t="shared" si="34"/>
        <v>27000</v>
      </c>
      <c r="M170" s="35">
        <f t="shared" si="35"/>
        <v>15000</v>
      </c>
      <c r="N170" s="36">
        <f t="shared" si="36"/>
        <v>162000</v>
      </c>
      <c r="O170" s="36">
        <f t="shared" si="37"/>
        <v>0</v>
      </c>
      <c r="P170" s="12"/>
    </row>
    <row r="171" spans="1:16" ht="42.75" customHeight="1" x14ac:dyDescent="0.25">
      <c r="A171" s="132" t="s">
        <v>723</v>
      </c>
      <c r="B171" s="44" t="s">
        <v>707</v>
      </c>
      <c r="C171" s="12" t="s">
        <v>32</v>
      </c>
      <c r="D171" s="136">
        <v>100</v>
      </c>
      <c r="E171" s="35">
        <v>1100</v>
      </c>
      <c r="F171" s="35">
        <f t="shared" si="42"/>
        <v>110000</v>
      </c>
      <c r="G171" s="35">
        <f t="shared" si="43"/>
        <v>19800</v>
      </c>
      <c r="H171" s="36">
        <f t="shared" si="44"/>
        <v>129800</v>
      </c>
      <c r="I171" s="12">
        <f>75+25</f>
        <v>100</v>
      </c>
      <c r="J171" s="12">
        <f t="shared" si="45"/>
        <v>0</v>
      </c>
      <c r="K171" s="35">
        <f t="shared" si="33"/>
        <v>110000</v>
      </c>
      <c r="L171" s="35">
        <f t="shared" si="34"/>
        <v>19800</v>
      </c>
      <c r="M171" s="35">
        <f t="shared" si="35"/>
        <v>11000</v>
      </c>
      <c r="N171" s="36">
        <f t="shared" si="36"/>
        <v>118800</v>
      </c>
      <c r="O171" s="36">
        <f t="shared" si="37"/>
        <v>0</v>
      </c>
      <c r="P171" s="12"/>
    </row>
    <row r="172" spans="1:16" ht="42.75" customHeight="1" x14ac:dyDescent="0.25">
      <c r="A172" s="132" t="s">
        <v>724</v>
      </c>
      <c r="B172" s="44" t="s">
        <v>709</v>
      </c>
      <c r="C172" s="12" t="s">
        <v>32</v>
      </c>
      <c r="D172" s="136">
        <v>100</v>
      </c>
      <c r="E172" s="35">
        <v>1100</v>
      </c>
      <c r="F172" s="35">
        <f t="shared" si="42"/>
        <v>110000</v>
      </c>
      <c r="G172" s="35">
        <f t="shared" si="43"/>
        <v>19800</v>
      </c>
      <c r="H172" s="36">
        <f t="shared" si="44"/>
        <v>129800</v>
      </c>
      <c r="I172" s="12">
        <f>100</f>
        <v>100</v>
      </c>
      <c r="J172" s="12">
        <f t="shared" si="45"/>
        <v>0</v>
      </c>
      <c r="K172" s="35">
        <f t="shared" si="33"/>
        <v>110000</v>
      </c>
      <c r="L172" s="35">
        <f t="shared" si="34"/>
        <v>19800</v>
      </c>
      <c r="M172" s="35">
        <f t="shared" si="35"/>
        <v>11000</v>
      </c>
      <c r="N172" s="36">
        <f t="shared" si="36"/>
        <v>118800</v>
      </c>
      <c r="O172" s="36">
        <f t="shared" si="37"/>
        <v>0</v>
      </c>
      <c r="P172" s="12"/>
    </row>
    <row r="173" spans="1:16" ht="42.75" customHeight="1" x14ac:dyDescent="0.25">
      <c r="A173" s="132" t="s">
        <v>725</v>
      </c>
      <c r="B173" s="44" t="s">
        <v>711</v>
      </c>
      <c r="C173" s="12" t="s">
        <v>32</v>
      </c>
      <c r="D173" s="136">
        <v>100</v>
      </c>
      <c r="E173" s="35">
        <v>1100</v>
      </c>
      <c r="F173" s="35">
        <f t="shared" si="42"/>
        <v>110000</v>
      </c>
      <c r="G173" s="35">
        <f t="shared" si="43"/>
        <v>19800</v>
      </c>
      <c r="H173" s="36">
        <f t="shared" si="44"/>
        <v>129800</v>
      </c>
      <c r="I173" s="12">
        <f>50+40+5+5</f>
        <v>100</v>
      </c>
      <c r="J173" s="12">
        <f t="shared" si="45"/>
        <v>0</v>
      </c>
      <c r="K173" s="35">
        <f t="shared" si="33"/>
        <v>110000</v>
      </c>
      <c r="L173" s="35">
        <f t="shared" si="34"/>
        <v>19800</v>
      </c>
      <c r="M173" s="35">
        <f t="shared" si="35"/>
        <v>11000</v>
      </c>
      <c r="N173" s="36">
        <f t="shared" si="36"/>
        <v>118800</v>
      </c>
      <c r="O173" s="36">
        <f t="shared" si="37"/>
        <v>0</v>
      </c>
      <c r="P173" s="12"/>
    </row>
    <row r="174" spans="1:16" ht="42.75" customHeight="1" x14ac:dyDescent="0.25">
      <c r="A174" s="132" t="s">
        <v>726</v>
      </c>
      <c r="B174" s="44" t="s">
        <v>713</v>
      </c>
      <c r="C174" s="12" t="s">
        <v>32</v>
      </c>
      <c r="D174" s="136">
        <v>100</v>
      </c>
      <c r="E174" s="35">
        <v>1100</v>
      </c>
      <c r="F174" s="35">
        <f t="shared" si="42"/>
        <v>110000</v>
      </c>
      <c r="G174" s="35">
        <f t="shared" si="43"/>
        <v>19800</v>
      </c>
      <c r="H174" s="36">
        <f t="shared" si="44"/>
        <v>129800</v>
      </c>
      <c r="I174" s="12">
        <f>100</f>
        <v>100</v>
      </c>
      <c r="J174" s="12">
        <f t="shared" si="45"/>
        <v>0</v>
      </c>
      <c r="K174" s="35">
        <f t="shared" si="33"/>
        <v>110000</v>
      </c>
      <c r="L174" s="35">
        <f t="shared" si="34"/>
        <v>19800</v>
      </c>
      <c r="M174" s="35">
        <f t="shared" si="35"/>
        <v>11000</v>
      </c>
      <c r="N174" s="36">
        <f t="shared" si="36"/>
        <v>118800</v>
      </c>
      <c r="O174" s="36">
        <f t="shared" si="37"/>
        <v>0</v>
      </c>
      <c r="P174" s="12"/>
    </row>
    <row r="175" spans="1:16" ht="42.75" customHeight="1" x14ac:dyDescent="0.25">
      <c r="A175" s="132" t="s">
        <v>727</v>
      </c>
      <c r="B175" s="44" t="s">
        <v>715</v>
      </c>
      <c r="C175" s="12" t="s">
        <v>32</v>
      </c>
      <c r="D175" s="136">
        <v>100</v>
      </c>
      <c r="E175" s="35">
        <v>1100</v>
      </c>
      <c r="F175" s="35">
        <f t="shared" si="42"/>
        <v>110000</v>
      </c>
      <c r="G175" s="35">
        <f t="shared" si="43"/>
        <v>19800</v>
      </c>
      <c r="H175" s="36">
        <f t="shared" si="44"/>
        <v>129800</v>
      </c>
      <c r="I175" s="12">
        <f>50+50</f>
        <v>100</v>
      </c>
      <c r="J175" s="12">
        <f t="shared" si="45"/>
        <v>0</v>
      </c>
      <c r="K175" s="35">
        <f t="shared" si="33"/>
        <v>110000</v>
      </c>
      <c r="L175" s="35">
        <f t="shared" si="34"/>
        <v>19800</v>
      </c>
      <c r="M175" s="35">
        <f t="shared" si="35"/>
        <v>11000</v>
      </c>
      <c r="N175" s="36">
        <f t="shared" si="36"/>
        <v>118800</v>
      </c>
      <c r="O175" s="36">
        <f t="shared" si="37"/>
        <v>0</v>
      </c>
      <c r="P175" s="12"/>
    </row>
    <row r="176" spans="1:16" ht="42.75" customHeight="1" x14ac:dyDescent="0.25">
      <c r="A176" s="132" t="s">
        <v>728</v>
      </c>
      <c r="B176" s="33" t="s">
        <v>729</v>
      </c>
      <c r="C176" s="12"/>
      <c r="D176" s="133"/>
      <c r="E176" s="35"/>
      <c r="F176" s="133"/>
      <c r="G176" s="134"/>
      <c r="H176" s="135"/>
      <c r="I176" s="12"/>
      <c r="J176" s="12"/>
      <c r="K176" s="35"/>
      <c r="L176" s="35"/>
      <c r="M176" s="35"/>
      <c r="N176" s="36"/>
      <c r="O176" s="36"/>
      <c r="P176" s="12"/>
    </row>
    <row r="177" spans="1:16" ht="42.75" customHeight="1" x14ac:dyDescent="0.25">
      <c r="A177" s="132" t="s">
        <v>730</v>
      </c>
      <c r="B177" s="46" t="s">
        <v>520</v>
      </c>
      <c r="C177" s="12"/>
      <c r="D177" s="133"/>
      <c r="E177" s="35"/>
      <c r="F177" s="133"/>
      <c r="G177" s="134"/>
      <c r="H177" s="135"/>
      <c r="I177" s="12"/>
      <c r="J177" s="12"/>
      <c r="K177" s="35"/>
      <c r="L177" s="35"/>
      <c r="M177" s="35"/>
      <c r="N177" s="36"/>
      <c r="O177" s="36"/>
      <c r="P177" s="12"/>
    </row>
    <row r="178" spans="1:16" ht="42.75" customHeight="1" x14ac:dyDescent="0.25">
      <c r="A178" s="132" t="s">
        <v>731</v>
      </c>
      <c r="B178" s="44" t="s">
        <v>732</v>
      </c>
      <c r="C178" s="12" t="s">
        <v>32</v>
      </c>
      <c r="D178" s="136">
        <v>100</v>
      </c>
      <c r="E178" s="35">
        <v>3024</v>
      </c>
      <c r="F178" s="35">
        <f>E178*D178</f>
        <v>302400</v>
      </c>
      <c r="G178" s="35">
        <f>F178*18%</f>
        <v>54432</v>
      </c>
      <c r="H178" s="36">
        <f>F178+G178</f>
        <v>356832</v>
      </c>
      <c r="I178" s="12">
        <v>100</v>
      </c>
      <c r="J178" s="12">
        <f>D178-I178</f>
        <v>0</v>
      </c>
      <c r="K178" s="35">
        <f t="shared" si="33"/>
        <v>302400</v>
      </c>
      <c r="L178" s="35">
        <f t="shared" si="34"/>
        <v>54432</v>
      </c>
      <c r="M178" s="35">
        <f t="shared" si="35"/>
        <v>30240</v>
      </c>
      <c r="N178" s="36">
        <f t="shared" si="36"/>
        <v>326592</v>
      </c>
      <c r="O178" s="36">
        <f t="shared" si="37"/>
        <v>0</v>
      </c>
      <c r="P178" s="12"/>
    </row>
    <row r="179" spans="1:16" ht="42.75" customHeight="1" x14ac:dyDescent="0.25">
      <c r="A179" s="132" t="s">
        <v>733</v>
      </c>
      <c r="B179" s="44" t="s">
        <v>734</v>
      </c>
      <c r="C179" s="12" t="s">
        <v>32</v>
      </c>
      <c r="D179" s="136">
        <v>100</v>
      </c>
      <c r="E179" s="35">
        <v>3024</v>
      </c>
      <c r="F179" s="35">
        <f>E179*D179</f>
        <v>302400</v>
      </c>
      <c r="G179" s="35">
        <f>F179*18%</f>
        <v>54432</v>
      </c>
      <c r="H179" s="36">
        <f>F179+G179</f>
        <v>356832</v>
      </c>
      <c r="I179" s="12">
        <v>100</v>
      </c>
      <c r="J179" s="12">
        <f>D179-I179</f>
        <v>0</v>
      </c>
      <c r="K179" s="35">
        <f t="shared" si="33"/>
        <v>302400</v>
      </c>
      <c r="L179" s="35">
        <f t="shared" si="34"/>
        <v>54432</v>
      </c>
      <c r="M179" s="35">
        <f t="shared" si="35"/>
        <v>30240</v>
      </c>
      <c r="N179" s="36">
        <f t="shared" si="36"/>
        <v>326592</v>
      </c>
      <c r="O179" s="36">
        <f t="shared" si="37"/>
        <v>0</v>
      </c>
      <c r="P179" s="12"/>
    </row>
    <row r="180" spans="1:16" ht="42.75" customHeight="1" x14ac:dyDescent="0.25">
      <c r="A180" s="132" t="s">
        <v>735</v>
      </c>
      <c r="B180" s="44" t="s">
        <v>736</v>
      </c>
      <c r="C180" s="12" t="s">
        <v>32</v>
      </c>
      <c r="D180" s="136">
        <v>100</v>
      </c>
      <c r="E180" s="35">
        <v>13952</v>
      </c>
      <c r="F180" s="35">
        <f>E180*D180</f>
        <v>1395200</v>
      </c>
      <c r="G180" s="35">
        <f>F180*18%</f>
        <v>251136</v>
      </c>
      <c r="H180" s="36">
        <f>F180+G180</f>
        <v>1646336</v>
      </c>
      <c r="I180" s="12">
        <f>55+25+20</f>
        <v>100</v>
      </c>
      <c r="J180" s="12">
        <f>D180-I180</f>
        <v>0</v>
      </c>
      <c r="K180" s="35">
        <f t="shared" si="33"/>
        <v>1395200</v>
      </c>
      <c r="L180" s="35">
        <f t="shared" si="34"/>
        <v>251136</v>
      </c>
      <c r="M180" s="35">
        <f t="shared" si="35"/>
        <v>139520</v>
      </c>
      <c r="N180" s="36">
        <f t="shared" si="36"/>
        <v>1506816</v>
      </c>
      <c r="O180" s="36">
        <f t="shared" si="37"/>
        <v>0</v>
      </c>
      <c r="P180" s="12"/>
    </row>
    <row r="181" spans="1:16" ht="37.5" customHeight="1" x14ac:dyDescent="0.25">
      <c r="A181" s="12">
        <v>5</v>
      </c>
      <c r="B181" s="44" t="s">
        <v>160</v>
      </c>
      <c r="C181" s="34"/>
      <c r="D181" s="34"/>
      <c r="E181" s="35"/>
      <c r="F181" s="35"/>
      <c r="G181" s="35"/>
      <c r="H181" s="36"/>
      <c r="I181" s="12"/>
      <c r="J181" s="12"/>
      <c r="K181" s="35"/>
      <c r="L181" s="35"/>
      <c r="M181" s="35"/>
      <c r="N181" s="36"/>
      <c r="O181" s="36"/>
      <c r="P181" s="12"/>
    </row>
    <row r="182" spans="1:16" ht="37.5" customHeight="1" x14ac:dyDescent="0.25">
      <c r="A182" s="12"/>
      <c r="B182" s="44"/>
      <c r="C182" s="12"/>
      <c r="D182" s="34"/>
      <c r="E182" s="35"/>
      <c r="F182" s="35"/>
      <c r="G182" s="35"/>
      <c r="H182" s="36"/>
      <c r="I182" s="12"/>
      <c r="J182" s="12"/>
      <c r="K182" s="35"/>
      <c r="L182" s="35"/>
      <c r="M182" s="35"/>
      <c r="N182" s="36"/>
      <c r="O182" s="36"/>
      <c r="P182" s="12"/>
    </row>
    <row r="183" spans="1:16" ht="37.5" customHeight="1" x14ac:dyDescent="0.25">
      <c r="A183" s="12"/>
      <c r="B183" s="44"/>
      <c r="C183" s="12"/>
      <c r="D183" s="34"/>
      <c r="E183" s="35"/>
      <c r="F183" s="35"/>
      <c r="G183" s="35"/>
      <c r="H183" s="36"/>
      <c r="I183" s="12"/>
      <c r="J183" s="12"/>
      <c r="K183" s="35"/>
      <c r="L183" s="35"/>
      <c r="M183" s="35"/>
      <c r="N183" s="36"/>
      <c r="O183" s="36"/>
      <c r="P183" s="127"/>
    </row>
    <row r="184" spans="1:16" ht="37.5" customHeight="1" x14ac:dyDescent="0.25">
      <c r="A184" s="12"/>
      <c r="B184" s="44"/>
      <c r="C184" s="34"/>
      <c r="D184" s="34"/>
      <c r="E184" s="35"/>
      <c r="F184" s="35"/>
      <c r="G184" s="35"/>
      <c r="H184" s="36"/>
      <c r="I184" s="12"/>
      <c r="J184" s="12"/>
      <c r="K184" s="35"/>
      <c r="L184" s="35"/>
      <c r="M184" s="35"/>
      <c r="N184" s="36"/>
      <c r="O184" s="36"/>
      <c r="P184" s="12"/>
    </row>
    <row r="185" spans="1:16" ht="37.5" customHeight="1" x14ac:dyDescent="0.25">
      <c r="A185" s="12"/>
      <c r="B185" s="44"/>
      <c r="C185" s="34"/>
      <c r="D185" s="34"/>
      <c r="E185" s="35"/>
      <c r="F185" s="35"/>
      <c r="G185" s="35"/>
      <c r="H185" s="35"/>
      <c r="I185" s="12"/>
      <c r="J185" s="12"/>
      <c r="K185" s="35"/>
      <c r="L185" s="35"/>
      <c r="M185" s="35"/>
      <c r="N185" s="36"/>
      <c r="O185" s="36"/>
      <c r="P185" s="12"/>
    </row>
    <row r="186" spans="1:16" ht="37.5" customHeight="1" x14ac:dyDescent="0.25">
      <c r="A186" s="12"/>
      <c r="B186" s="44"/>
      <c r="C186" s="34"/>
      <c r="D186" s="34"/>
      <c r="E186" s="34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</row>
  </sheetData>
  <mergeCells count="19">
    <mergeCell ref="L3:L4"/>
    <mergeCell ref="O3:O4"/>
    <mergeCell ref="B5:E5"/>
    <mergeCell ref="F3:F4"/>
    <mergeCell ref="G3:G4"/>
    <mergeCell ref="H3:H4"/>
    <mergeCell ref="I3:I4"/>
    <mergeCell ref="J3:J4"/>
    <mergeCell ref="K3:K4"/>
    <mergeCell ref="A1:P1"/>
    <mergeCell ref="A2:A4"/>
    <mergeCell ref="B2:B4"/>
    <mergeCell ref="C2:H2"/>
    <mergeCell ref="I2:L2"/>
    <mergeCell ref="N2:N4"/>
    <mergeCell ref="P2:P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zoomScale="80" zoomScaleNormal="80" workbookViewId="0">
      <pane xSplit="2" ySplit="5" topLeftCell="C33" activePane="bottomRight" state="frozen"/>
      <selection pane="topRight" activeCell="C1" sqref="C1"/>
      <selection pane="bottomLeft" activeCell="A6" sqref="A6"/>
      <selection pane="bottomRight" activeCell="I38" sqref="I38"/>
    </sheetView>
  </sheetViews>
  <sheetFormatPr defaultColWidth="9.140625" defaultRowHeight="15" x14ac:dyDescent="0.25"/>
  <cols>
    <col min="1" max="1" width="7.42578125" style="3" customWidth="1"/>
    <col min="2" max="2" width="27" style="48" customWidth="1"/>
    <col min="3" max="3" width="7.85546875" style="3" customWidth="1"/>
    <col min="4" max="4" width="17.28515625" style="3" customWidth="1"/>
    <col min="5" max="5" width="17.42578125" style="3" customWidth="1"/>
    <col min="6" max="8" width="20.140625" style="3" customWidth="1"/>
    <col min="9" max="10" width="13.28515625" style="3" customWidth="1"/>
    <col min="11" max="11" width="20.140625" style="3" customWidth="1"/>
    <col min="12" max="13" width="17.42578125" style="3" customWidth="1"/>
    <col min="14" max="14" width="18" style="3" customWidth="1"/>
    <col min="15" max="15" width="23.42578125" style="3" customWidth="1"/>
    <col min="16" max="16" width="27.140625" style="3" customWidth="1"/>
    <col min="17" max="17" width="9.140625" style="3"/>
    <col min="18" max="18" width="24.5703125" style="3" customWidth="1"/>
    <col min="19" max="16384" width="9.140625" style="3"/>
  </cols>
  <sheetData>
    <row r="1" spans="1:18" ht="29.25" customHeight="1" thickBot="1" x14ac:dyDescent="0.3">
      <c r="A1" s="1" t="s">
        <v>427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ht="29.25" customHeight="1" x14ac:dyDescent="0.25">
      <c r="A2" s="4" t="s">
        <v>1</v>
      </c>
      <c r="B2" s="5" t="s">
        <v>2</v>
      </c>
      <c r="C2" s="5" t="s">
        <v>3</v>
      </c>
      <c r="D2" s="5"/>
      <c r="E2" s="5"/>
      <c r="F2" s="5"/>
      <c r="G2" s="5"/>
      <c r="H2" s="5"/>
      <c r="I2" s="5"/>
      <c r="J2" s="5"/>
      <c r="K2" s="5"/>
      <c r="L2" s="5"/>
      <c r="M2" s="6"/>
      <c r="N2" s="7" t="s">
        <v>4</v>
      </c>
      <c r="O2" s="8"/>
      <c r="P2" s="9" t="s">
        <v>5</v>
      </c>
    </row>
    <row r="3" spans="1:18" ht="65.25" customHeight="1" x14ac:dyDescent="0.25">
      <c r="A3" s="10"/>
      <c r="B3" s="11"/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1" t="s">
        <v>14</v>
      </c>
      <c r="L3" s="11" t="s">
        <v>15</v>
      </c>
      <c r="M3" s="12" t="s">
        <v>16</v>
      </c>
      <c r="N3" s="13"/>
      <c r="O3" s="11" t="s">
        <v>17</v>
      </c>
      <c r="P3" s="14"/>
    </row>
    <row r="4" spans="1:18" ht="37.5" customHeight="1" thickBot="1" x14ac:dyDescent="0.3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7">
        <v>0.1</v>
      </c>
      <c r="N4" s="18"/>
      <c r="O4" s="16"/>
      <c r="P4" s="19"/>
    </row>
    <row r="5" spans="1:18" ht="37.5" customHeight="1" x14ac:dyDescent="0.25">
      <c r="A5" s="20" t="s">
        <v>18</v>
      </c>
      <c r="B5" s="21" t="s">
        <v>428</v>
      </c>
      <c r="C5" s="21"/>
      <c r="D5" s="21"/>
      <c r="E5" s="21"/>
      <c r="F5" s="22">
        <f>SUM(F6:F134)</f>
        <v>430340660</v>
      </c>
      <c r="G5" s="22">
        <f>SUM(G6:G134)</f>
        <v>77461318.799999997</v>
      </c>
      <c r="H5" s="22">
        <f>SUM(H6:H134)</f>
        <v>507801978.80000001</v>
      </c>
      <c r="I5" s="12"/>
      <c r="J5" s="20"/>
      <c r="K5" s="22">
        <f>SUM(K6:K134)</f>
        <v>95436412.400000006</v>
      </c>
      <c r="L5" s="22">
        <f>SUM(L6:L134)</f>
        <v>17178554.232000001</v>
      </c>
      <c r="M5" s="22">
        <f>SUM(M6:M134)</f>
        <v>9543641.2400000002</v>
      </c>
      <c r="N5" s="22">
        <f>SUM(N6:N134)-N13</f>
        <v>103071325.39199999</v>
      </c>
      <c r="O5" s="22">
        <f>SUM(O6:O134)</f>
        <v>334904247.60000002</v>
      </c>
      <c r="P5" s="12"/>
      <c r="R5" s="23">
        <f>O5*1.18</f>
        <v>395187012.16799998</v>
      </c>
    </row>
    <row r="6" spans="1:18" ht="77.25" customHeight="1" x14ac:dyDescent="0.25">
      <c r="A6" s="12">
        <v>1</v>
      </c>
      <c r="B6" s="46" t="s">
        <v>20</v>
      </c>
      <c r="C6" s="34" t="s">
        <v>21</v>
      </c>
      <c r="D6" s="34">
        <v>1</v>
      </c>
      <c r="E6" s="35">
        <v>5000000</v>
      </c>
      <c r="F6" s="35">
        <f>D6*E6</f>
        <v>5000000</v>
      </c>
      <c r="G6" s="35">
        <f>F6*18%</f>
        <v>900000</v>
      </c>
      <c r="H6" s="36">
        <f>F6+G6</f>
        <v>5900000</v>
      </c>
      <c r="I6" s="12">
        <v>0</v>
      </c>
      <c r="J6" s="12">
        <f>D6-I6</f>
        <v>1</v>
      </c>
      <c r="K6" s="35">
        <f>I6*E6</f>
        <v>0</v>
      </c>
      <c r="L6" s="35">
        <f>K6*18%</f>
        <v>0</v>
      </c>
      <c r="M6" s="35">
        <f>K6*10%</f>
        <v>0</v>
      </c>
      <c r="N6" s="36">
        <f>SUM(K6:L6)-M6</f>
        <v>0</v>
      </c>
      <c r="O6" s="36">
        <f>J6*E6</f>
        <v>5000000</v>
      </c>
      <c r="P6" s="12"/>
    </row>
    <row r="7" spans="1:18" ht="61.5" customHeight="1" x14ac:dyDescent="0.25">
      <c r="A7" s="12">
        <v>2</v>
      </c>
      <c r="B7" s="46" t="s">
        <v>22</v>
      </c>
      <c r="C7" s="34"/>
      <c r="D7" s="34"/>
      <c r="E7" s="35"/>
      <c r="F7" s="35"/>
      <c r="G7" s="35"/>
      <c r="H7" s="36"/>
      <c r="I7" s="12"/>
      <c r="J7" s="12"/>
      <c r="K7" s="35"/>
      <c r="L7" s="35"/>
      <c r="M7" s="35"/>
      <c r="N7" s="36"/>
      <c r="O7" s="36"/>
      <c r="P7" s="12"/>
    </row>
    <row r="8" spans="1:18" ht="30" x14ac:dyDescent="0.25">
      <c r="A8" s="12" t="s">
        <v>29</v>
      </c>
      <c r="B8" s="46" t="s">
        <v>23</v>
      </c>
      <c r="C8" s="97" t="s">
        <v>24</v>
      </c>
      <c r="D8" s="91"/>
      <c r="E8" s="103"/>
      <c r="F8" s="103"/>
      <c r="G8" s="103"/>
      <c r="H8" s="36"/>
      <c r="I8" s="12"/>
      <c r="J8" s="12"/>
      <c r="K8" s="35"/>
      <c r="L8" s="35"/>
      <c r="M8" s="35"/>
      <c r="N8" s="36"/>
      <c r="O8" s="36"/>
      <c r="P8" s="12"/>
    </row>
    <row r="9" spans="1:18" ht="45" x14ac:dyDescent="0.25">
      <c r="A9" s="12" t="s">
        <v>158</v>
      </c>
      <c r="B9" s="46" t="s">
        <v>25</v>
      </c>
      <c r="C9" s="97" t="s">
        <v>26</v>
      </c>
      <c r="D9" s="91">
        <v>1</v>
      </c>
      <c r="E9" s="35">
        <v>51840260</v>
      </c>
      <c r="F9" s="35">
        <f>D9*E9</f>
        <v>51840260</v>
      </c>
      <c r="G9" s="35">
        <f>F9*18%</f>
        <v>9331246.7999999989</v>
      </c>
      <c r="H9" s="36">
        <f>F9+G9</f>
        <v>61171506.799999997</v>
      </c>
      <c r="I9" s="12">
        <v>0</v>
      </c>
      <c r="J9" s="12">
        <f>D9-I9</f>
        <v>1</v>
      </c>
      <c r="K9" s="35">
        <f>I9*E9</f>
        <v>0</v>
      </c>
      <c r="L9" s="35">
        <f>K9*18%</f>
        <v>0</v>
      </c>
      <c r="M9" s="35">
        <f>K9*10%</f>
        <v>0</v>
      </c>
      <c r="N9" s="36">
        <f>SUM(K9:L9)-M9</f>
        <v>0</v>
      </c>
      <c r="O9" s="36">
        <f>J9*E9</f>
        <v>51840260</v>
      </c>
      <c r="P9" s="12"/>
    </row>
    <row r="10" spans="1:18" ht="37.5" customHeight="1" x14ac:dyDescent="0.25">
      <c r="A10" s="12" t="s">
        <v>205</v>
      </c>
      <c r="B10" s="46" t="s">
        <v>27</v>
      </c>
      <c r="C10" s="97" t="s">
        <v>26</v>
      </c>
      <c r="D10" s="91">
        <v>1</v>
      </c>
      <c r="E10" s="35">
        <v>15000000</v>
      </c>
      <c r="F10" s="35">
        <f>D10*E10</f>
        <v>15000000</v>
      </c>
      <c r="G10" s="35">
        <f>F10*18%</f>
        <v>2700000</v>
      </c>
      <c r="H10" s="36">
        <f>F10+G10</f>
        <v>17700000</v>
      </c>
      <c r="I10" s="12">
        <v>0</v>
      </c>
      <c r="J10" s="12">
        <f>D10-I10</f>
        <v>1</v>
      </c>
      <c r="K10" s="35">
        <f>I10*E10</f>
        <v>0</v>
      </c>
      <c r="L10" s="35">
        <f>K10*18%</f>
        <v>0</v>
      </c>
      <c r="M10" s="35">
        <f>K10*10%</f>
        <v>0</v>
      </c>
      <c r="N10" s="36">
        <f>SUM(K10:L10)-M10</f>
        <v>0</v>
      </c>
      <c r="O10" s="36">
        <f>J10*E10</f>
        <v>15000000</v>
      </c>
      <c r="P10" s="12"/>
    </row>
    <row r="13" spans="1:18" ht="37.5" customHeight="1" x14ac:dyDescent="0.25">
      <c r="A13" s="12" t="s">
        <v>56</v>
      </c>
      <c r="B13" s="33" t="s">
        <v>28</v>
      </c>
      <c r="C13" s="34" t="s">
        <v>26</v>
      </c>
      <c r="D13" s="34">
        <v>1</v>
      </c>
      <c r="E13" s="35"/>
      <c r="F13" s="35"/>
      <c r="G13" s="35"/>
      <c r="H13" s="36"/>
      <c r="I13" s="12"/>
      <c r="J13" s="12"/>
      <c r="K13" s="35"/>
      <c r="L13" s="35"/>
      <c r="M13" s="35"/>
      <c r="N13" s="36"/>
      <c r="O13" s="36"/>
      <c r="P13" s="12"/>
      <c r="R13" s="23"/>
    </row>
    <row r="14" spans="1:18" ht="71.25" customHeight="1" x14ac:dyDescent="0.25">
      <c r="A14" s="37" t="s">
        <v>29</v>
      </c>
      <c r="B14" s="38" t="s">
        <v>30</v>
      </c>
      <c r="C14" s="39"/>
      <c r="D14" s="40"/>
      <c r="E14" s="41"/>
      <c r="F14" s="42"/>
      <c r="G14" s="35"/>
      <c r="H14" s="36"/>
      <c r="I14" s="12"/>
      <c r="J14" s="12"/>
      <c r="K14" s="35"/>
      <c r="L14" s="35"/>
      <c r="M14" s="35"/>
      <c r="N14" s="36"/>
      <c r="O14" s="36"/>
      <c r="P14" s="12"/>
      <c r="R14" s="23"/>
    </row>
    <row r="15" spans="1:18" ht="71.25" customHeight="1" x14ac:dyDescent="0.25">
      <c r="A15" s="43">
        <v>1</v>
      </c>
      <c r="B15" s="44" t="s">
        <v>429</v>
      </c>
      <c r="C15" s="128" t="s">
        <v>32</v>
      </c>
      <c r="D15" s="91">
        <v>100</v>
      </c>
      <c r="E15" s="109">
        <v>22100</v>
      </c>
      <c r="F15" s="35">
        <f>D15*E15</f>
        <v>2210000</v>
      </c>
      <c r="G15" s="35">
        <f>F15*18%</f>
        <v>397800</v>
      </c>
      <c r="H15" s="36">
        <f>F15+G15</f>
        <v>2607800</v>
      </c>
      <c r="I15" s="12">
        <f>54.3+32.13</f>
        <v>86.43</v>
      </c>
      <c r="J15" s="12">
        <f>D15-I15</f>
        <v>13.569999999999993</v>
      </c>
      <c r="K15" s="35">
        <f>I15*E15</f>
        <v>1910103.0000000002</v>
      </c>
      <c r="L15" s="35">
        <f>K15*18%</f>
        <v>343818.54000000004</v>
      </c>
      <c r="M15" s="35">
        <f>K15*10%</f>
        <v>191010.30000000005</v>
      </c>
      <c r="N15" s="36">
        <f>SUM(K15:L15)-M15</f>
        <v>2062911.24</v>
      </c>
      <c r="O15" s="36">
        <f>J15*E15</f>
        <v>299896.99999999983</v>
      </c>
      <c r="P15" s="12"/>
      <c r="R15" s="23"/>
    </row>
    <row r="16" spans="1:18" ht="71.25" customHeight="1" x14ac:dyDescent="0.25">
      <c r="A16" s="43">
        <v>2</v>
      </c>
      <c r="B16" s="44" t="s">
        <v>430</v>
      </c>
      <c r="C16" s="128" t="s">
        <v>32</v>
      </c>
      <c r="D16" s="91">
        <v>100</v>
      </c>
      <c r="E16" s="109">
        <v>18950</v>
      </c>
      <c r="F16" s="35">
        <f t="shared" ref="F16:F79" si="0">D16*E16</f>
        <v>1895000</v>
      </c>
      <c r="G16" s="35">
        <f t="shared" ref="G16:G79" si="1">F16*18%</f>
        <v>341100</v>
      </c>
      <c r="H16" s="36">
        <f t="shared" ref="H16:H79" si="2">F16+G16</f>
        <v>2236100</v>
      </c>
      <c r="I16" s="12">
        <f>86.43</f>
        <v>86.43</v>
      </c>
      <c r="J16" s="12">
        <f t="shared" ref="J16:J79" si="3">D16-I16</f>
        <v>13.569999999999993</v>
      </c>
      <c r="K16" s="35">
        <f t="shared" ref="K16:K79" si="4">I16*E16</f>
        <v>1637848.5000000002</v>
      </c>
      <c r="L16" s="35">
        <f t="shared" ref="L16:L79" si="5">K16*18%</f>
        <v>294812.73000000004</v>
      </c>
      <c r="M16" s="35">
        <f t="shared" ref="M16:M79" si="6">K16*10%</f>
        <v>163784.85000000003</v>
      </c>
      <c r="N16" s="36">
        <f t="shared" ref="N16:N79" si="7">SUM(K16:L16)-M16</f>
        <v>1768876.3800000001</v>
      </c>
      <c r="O16" s="36">
        <f t="shared" ref="O16:O79" si="8">J16*E16</f>
        <v>257151.49999999988</v>
      </c>
      <c r="P16" s="12"/>
      <c r="R16" s="23"/>
    </row>
    <row r="17" spans="1:18" ht="71.25" customHeight="1" x14ac:dyDescent="0.25">
      <c r="A17" s="43">
        <v>3</v>
      </c>
      <c r="B17" s="44" t="s">
        <v>431</v>
      </c>
      <c r="C17" s="128" t="s">
        <v>32</v>
      </c>
      <c r="D17" s="91">
        <v>100</v>
      </c>
      <c r="E17" s="109">
        <v>47360</v>
      </c>
      <c r="F17" s="35">
        <f t="shared" si="0"/>
        <v>4736000</v>
      </c>
      <c r="G17" s="35">
        <f t="shared" si="1"/>
        <v>852480</v>
      </c>
      <c r="H17" s="36">
        <f t="shared" si="2"/>
        <v>5588480</v>
      </c>
      <c r="I17" s="12">
        <f>86.43</f>
        <v>86.43</v>
      </c>
      <c r="J17" s="12">
        <f t="shared" si="3"/>
        <v>13.569999999999993</v>
      </c>
      <c r="K17" s="35">
        <f t="shared" si="4"/>
        <v>4093324.8000000003</v>
      </c>
      <c r="L17" s="35">
        <f t="shared" si="5"/>
        <v>736798.46400000004</v>
      </c>
      <c r="M17" s="35">
        <f t="shared" si="6"/>
        <v>409332.48000000004</v>
      </c>
      <c r="N17" s="36">
        <f t="shared" si="7"/>
        <v>4420790.784</v>
      </c>
      <c r="O17" s="36">
        <f t="shared" si="8"/>
        <v>642675.19999999972</v>
      </c>
      <c r="P17" s="12"/>
      <c r="R17" s="23"/>
    </row>
    <row r="18" spans="1:18" ht="71.25" customHeight="1" x14ac:dyDescent="0.25">
      <c r="A18" s="43">
        <v>4</v>
      </c>
      <c r="B18" s="44" t="s">
        <v>432</v>
      </c>
      <c r="C18" s="128" t="s">
        <v>32</v>
      </c>
      <c r="D18" s="91">
        <v>100</v>
      </c>
      <c r="E18" s="109">
        <v>6310</v>
      </c>
      <c r="F18" s="35">
        <f t="shared" si="0"/>
        <v>631000</v>
      </c>
      <c r="G18" s="35">
        <f t="shared" si="1"/>
        <v>113580</v>
      </c>
      <c r="H18" s="36">
        <f t="shared" si="2"/>
        <v>744580</v>
      </c>
      <c r="I18" s="12"/>
      <c r="J18" s="12">
        <f t="shared" si="3"/>
        <v>100</v>
      </c>
      <c r="K18" s="35">
        <f t="shared" si="4"/>
        <v>0</v>
      </c>
      <c r="L18" s="35">
        <f t="shared" si="5"/>
        <v>0</v>
      </c>
      <c r="M18" s="35">
        <f t="shared" si="6"/>
        <v>0</v>
      </c>
      <c r="N18" s="36">
        <f t="shared" si="7"/>
        <v>0</v>
      </c>
      <c r="O18" s="36">
        <f t="shared" si="8"/>
        <v>631000</v>
      </c>
      <c r="P18" s="12"/>
      <c r="R18" s="23"/>
    </row>
    <row r="19" spans="1:18" ht="71.25" customHeight="1" x14ac:dyDescent="0.25">
      <c r="A19" s="43">
        <v>5</v>
      </c>
      <c r="B19" s="44" t="s">
        <v>433</v>
      </c>
      <c r="C19" s="128" t="s">
        <v>32</v>
      </c>
      <c r="D19" s="91">
        <v>100</v>
      </c>
      <c r="E19" s="109">
        <v>22050</v>
      </c>
      <c r="F19" s="35">
        <f t="shared" si="0"/>
        <v>2205000</v>
      </c>
      <c r="G19" s="35">
        <f t="shared" si="1"/>
        <v>396900</v>
      </c>
      <c r="H19" s="36">
        <f t="shared" si="2"/>
        <v>2601900</v>
      </c>
      <c r="I19" s="12">
        <f>50.68+49.32</f>
        <v>100</v>
      </c>
      <c r="J19" s="12">
        <f t="shared" si="3"/>
        <v>0</v>
      </c>
      <c r="K19" s="35">
        <f t="shared" si="4"/>
        <v>2205000</v>
      </c>
      <c r="L19" s="35">
        <f t="shared" si="5"/>
        <v>396900</v>
      </c>
      <c r="M19" s="35">
        <f t="shared" si="6"/>
        <v>220500</v>
      </c>
      <c r="N19" s="36">
        <f t="shared" si="7"/>
        <v>2381400</v>
      </c>
      <c r="O19" s="36">
        <f t="shared" si="8"/>
        <v>0</v>
      </c>
      <c r="P19" s="12"/>
      <c r="R19" s="23"/>
    </row>
    <row r="20" spans="1:18" ht="71.25" customHeight="1" x14ac:dyDescent="0.25">
      <c r="A20" s="43">
        <v>6</v>
      </c>
      <c r="B20" s="44" t="s">
        <v>434</v>
      </c>
      <c r="C20" s="128" t="s">
        <v>32</v>
      </c>
      <c r="D20" s="91">
        <v>100</v>
      </c>
      <c r="E20" s="109">
        <v>18950</v>
      </c>
      <c r="F20" s="35">
        <f t="shared" si="0"/>
        <v>1895000</v>
      </c>
      <c r="G20" s="35">
        <f t="shared" si="1"/>
        <v>341100</v>
      </c>
      <c r="H20" s="36">
        <f t="shared" si="2"/>
        <v>2236100</v>
      </c>
      <c r="I20" s="12">
        <f>50.68+49.32</f>
        <v>100</v>
      </c>
      <c r="J20" s="12">
        <f t="shared" si="3"/>
        <v>0</v>
      </c>
      <c r="K20" s="35">
        <f t="shared" si="4"/>
        <v>1895000</v>
      </c>
      <c r="L20" s="35">
        <f t="shared" si="5"/>
        <v>341100</v>
      </c>
      <c r="M20" s="35">
        <f t="shared" si="6"/>
        <v>189500</v>
      </c>
      <c r="N20" s="36">
        <f t="shared" si="7"/>
        <v>2046600</v>
      </c>
      <c r="O20" s="36">
        <f t="shared" si="8"/>
        <v>0</v>
      </c>
      <c r="P20" s="12"/>
      <c r="R20" s="23"/>
    </row>
    <row r="21" spans="1:18" ht="71.25" customHeight="1" x14ac:dyDescent="0.25">
      <c r="A21" s="43">
        <v>7</v>
      </c>
      <c r="B21" s="44" t="s">
        <v>435</v>
      </c>
      <c r="C21" s="128" t="s">
        <v>32</v>
      </c>
      <c r="D21" s="91">
        <v>100</v>
      </c>
      <c r="E21" s="109">
        <v>47400</v>
      </c>
      <c r="F21" s="35">
        <f t="shared" si="0"/>
        <v>4740000</v>
      </c>
      <c r="G21" s="35">
        <f t="shared" si="1"/>
        <v>853200</v>
      </c>
      <c r="H21" s="36">
        <f t="shared" si="2"/>
        <v>5593200</v>
      </c>
      <c r="I21" s="12">
        <f>50.68+49.32</f>
        <v>100</v>
      </c>
      <c r="J21" s="12">
        <f t="shared" si="3"/>
        <v>0</v>
      </c>
      <c r="K21" s="35">
        <f t="shared" si="4"/>
        <v>4740000</v>
      </c>
      <c r="L21" s="35">
        <f t="shared" si="5"/>
        <v>853200</v>
      </c>
      <c r="M21" s="35">
        <f t="shared" si="6"/>
        <v>474000</v>
      </c>
      <c r="N21" s="36">
        <f t="shared" si="7"/>
        <v>5119200</v>
      </c>
      <c r="O21" s="36">
        <f t="shared" si="8"/>
        <v>0</v>
      </c>
      <c r="P21" s="12"/>
      <c r="R21" s="23"/>
    </row>
    <row r="22" spans="1:18" ht="71.25" customHeight="1" x14ac:dyDescent="0.25">
      <c r="A22" s="43">
        <v>8</v>
      </c>
      <c r="B22" s="44" t="s">
        <v>436</v>
      </c>
      <c r="C22" s="128" t="s">
        <v>32</v>
      </c>
      <c r="D22" s="91">
        <v>100</v>
      </c>
      <c r="E22" s="109">
        <v>6310</v>
      </c>
      <c r="F22" s="35">
        <f t="shared" si="0"/>
        <v>631000</v>
      </c>
      <c r="G22" s="35">
        <f t="shared" si="1"/>
        <v>113580</v>
      </c>
      <c r="H22" s="36">
        <f t="shared" si="2"/>
        <v>744580</v>
      </c>
      <c r="I22" s="12"/>
      <c r="J22" s="12">
        <f t="shared" si="3"/>
        <v>100</v>
      </c>
      <c r="K22" s="35">
        <f t="shared" si="4"/>
        <v>0</v>
      </c>
      <c r="L22" s="35">
        <f t="shared" si="5"/>
        <v>0</v>
      </c>
      <c r="M22" s="35">
        <f t="shared" si="6"/>
        <v>0</v>
      </c>
      <c r="N22" s="36">
        <f t="shared" si="7"/>
        <v>0</v>
      </c>
      <c r="O22" s="36">
        <f t="shared" si="8"/>
        <v>631000</v>
      </c>
      <c r="P22" s="12"/>
      <c r="R22" s="23"/>
    </row>
    <row r="23" spans="1:18" ht="71.25" customHeight="1" x14ac:dyDescent="0.25">
      <c r="A23" s="43">
        <v>9</v>
      </c>
      <c r="B23" s="44" t="s">
        <v>437</v>
      </c>
      <c r="C23" s="128" t="s">
        <v>32</v>
      </c>
      <c r="D23" s="91">
        <v>100</v>
      </c>
      <c r="E23" s="109">
        <v>22050</v>
      </c>
      <c r="F23" s="35">
        <f t="shared" si="0"/>
        <v>2205000</v>
      </c>
      <c r="G23" s="35">
        <f t="shared" si="1"/>
        <v>396900</v>
      </c>
      <c r="H23" s="36">
        <f t="shared" si="2"/>
        <v>2601900</v>
      </c>
      <c r="I23" s="12">
        <f>69.23+30.77</f>
        <v>100</v>
      </c>
      <c r="J23" s="12">
        <f t="shared" si="3"/>
        <v>0</v>
      </c>
      <c r="K23" s="35">
        <f t="shared" si="4"/>
        <v>2205000</v>
      </c>
      <c r="L23" s="35">
        <f t="shared" si="5"/>
        <v>396900</v>
      </c>
      <c r="M23" s="35">
        <f t="shared" si="6"/>
        <v>220500</v>
      </c>
      <c r="N23" s="36">
        <f t="shared" si="7"/>
        <v>2381400</v>
      </c>
      <c r="O23" s="36">
        <f t="shared" si="8"/>
        <v>0</v>
      </c>
      <c r="P23" s="12"/>
      <c r="R23" s="23"/>
    </row>
    <row r="24" spans="1:18" ht="71.25" customHeight="1" x14ac:dyDescent="0.25">
      <c r="A24" s="43">
        <v>10</v>
      </c>
      <c r="B24" s="44" t="s">
        <v>438</v>
      </c>
      <c r="C24" s="128" t="s">
        <v>32</v>
      </c>
      <c r="D24" s="91">
        <v>100</v>
      </c>
      <c r="E24" s="109">
        <v>18950</v>
      </c>
      <c r="F24" s="35">
        <f t="shared" si="0"/>
        <v>1895000</v>
      </c>
      <c r="G24" s="35">
        <f t="shared" si="1"/>
        <v>341100</v>
      </c>
      <c r="H24" s="36">
        <f t="shared" si="2"/>
        <v>2236100</v>
      </c>
      <c r="I24" s="12">
        <f>45.25+54.75</f>
        <v>100</v>
      </c>
      <c r="J24" s="12">
        <f t="shared" si="3"/>
        <v>0</v>
      </c>
      <c r="K24" s="35">
        <f t="shared" si="4"/>
        <v>1895000</v>
      </c>
      <c r="L24" s="35">
        <f t="shared" si="5"/>
        <v>341100</v>
      </c>
      <c r="M24" s="35">
        <f t="shared" si="6"/>
        <v>189500</v>
      </c>
      <c r="N24" s="36">
        <f t="shared" si="7"/>
        <v>2046600</v>
      </c>
      <c r="O24" s="36">
        <f t="shared" si="8"/>
        <v>0</v>
      </c>
      <c r="P24" s="12"/>
      <c r="R24" s="23"/>
    </row>
    <row r="25" spans="1:18" ht="71.25" customHeight="1" x14ac:dyDescent="0.25">
      <c r="A25" s="43">
        <v>11</v>
      </c>
      <c r="B25" s="44" t="s">
        <v>439</v>
      </c>
      <c r="C25" s="128" t="s">
        <v>32</v>
      </c>
      <c r="D25" s="91">
        <v>100</v>
      </c>
      <c r="E25" s="109">
        <v>47400</v>
      </c>
      <c r="F25" s="35">
        <f t="shared" si="0"/>
        <v>4740000</v>
      </c>
      <c r="G25" s="35">
        <f t="shared" si="1"/>
        <v>853200</v>
      </c>
      <c r="H25" s="36">
        <f t="shared" si="2"/>
        <v>5593200</v>
      </c>
      <c r="I25" s="12">
        <v>100</v>
      </c>
      <c r="J25" s="12">
        <f t="shared" si="3"/>
        <v>0</v>
      </c>
      <c r="K25" s="35">
        <f t="shared" si="4"/>
        <v>4740000</v>
      </c>
      <c r="L25" s="35">
        <f t="shared" si="5"/>
        <v>853200</v>
      </c>
      <c r="M25" s="35">
        <f t="shared" si="6"/>
        <v>474000</v>
      </c>
      <c r="N25" s="36">
        <f t="shared" si="7"/>
        <v>5119200</v>
      </c>
      <c r="O25" s="36">
        <f t="shared" si="8"/>
        <v>0</v>
      </c>
      <c r="P25" s="12"/>
      <c r="R25" s="23"/>
    </row>
    <row r="26" spans="1:18" ht="71.25" customHeight="1" x14ac:dyDescent="0.25">
      <c r="A26" s="43">
        <v>12</v>
      </c>
      <c r="B26" s="44" t="s">
        <v>440</v>
      </c>
      <c r="C26" s="128" t="s">
        <v>32</v>
      </c>
      <c r="D26" s="91">
        <v>100</v>
      </c>
      <c r="E26" s="109">
        <v>6310</v>
      </c>
      <c r="F26" s="35">
        <f t="shared" si="0"/>
        <v>631000</v>
      </c>
      <c r="G26" s="35">
        <f t="shared" si="1"/>
        <v>113580</v>
      </c>
      <c r="H26" s="36">
        <f t="shared" si="2"/>
        <v>744580</v>
      </c>
      <c r="I26" s="12"/>
      <c r="J26" s="12">
        <f t="shared" si="3"/>
        <v>100</v>
      </c>
      <c r="K26" s="35">
        <f t="shared" si="4"/>
        <v>0</v>
      </c>
      <c r="L26" s="35">
        <f t="shared" si="5"/>
        <v>0</v>
      </c>
      <c r="M26" s="35">
        <f t="shared" si="6"/>
        <v>0</v>
      </c>
      <c r="N26" s="36">
        <f t="shared" si="7"/>
        <v>0</v>
      </c>
      <c r="O26" s="36">
        <f t="shared" si="8"/>
        <v>631000</v>
      </c>
      <c r="P26" s="12"/>
      <c r="R26" s="23"/>
    </row>
    <row r="27" spans="1:18" ht="71.25" customHeight="1" x14ac:dyDescent="0.25">
      <c r="A27" s="43">
        <v>13</v>
      </c>
      <c r="B27" s="44" t="s">
        <v>441</v>
      </c>
      <c r="C27" s="128" t="s">
        <v>32</v>
      </c>
      <c r="D27" s="91">
        <v>100</v>
      </c>
      <c r="E27" s="109">
        <v>22050</v>
      </c>
      <c r="F27" s="35">
        <f t="shared" si="0"/>
        <v>2205000</v>
      </c>
      <c r="G27" s="35">
        <f t="shared" si="1"/>
        <v>396900</v>
      </c>
      <c r="H27" s="36">
        <f t="shared" si="2"/>
        <v>2601900</v>
      </c>
      <c r="I27" s="12">
        <f>47.98+52.02</f>
        <v>100</v>
      </c>
      <c r="J27" s="12">
        <f t="shared" si="3"/>
        <v>0</v>
      </c>
      <c r="K27" s="35">
        <f t="shared" si="4"/>
        <v>2205000</v>
      </c>
      <c r="L27" s="35">
        <f t="shared" si="5"/>
        <v>396900</v>
      </c>
      <c r="M27" s="35">
        <f t="shared" si="6"/>
        <v>220500</v>
      </c>
      <c r="N27" s="36">
        <f t="shared" si="7"/>
        <v>2381400</v>
      </c>
      <c r="O27" s="36">
        <f t="shared" si="8"/>
        <v>0</v>
      </c>
      <c r="P27" s="12"/>
      <c r="R27" s="23"/>
    </row>
    <row r="28" spans="1:18" ht="71.25" customHeight="1" x14ac:dyDescent="0.25">
      <c r="A28" s="43">
        <v>14</v>
      </c>
      <c r="B28" s="44" t="s">
        <v>442</v>
      </c>
      <c r="C28" s="128" t="s">
        <v>32</v>
      </c>
      <c r="D28" s="91">
        <v>100</v>
      </c>
      <c r="E28" s="109">
        <v>18950</v>
      </c>
      <c r="F28" s="35">
        <f t="shared" si="0"/>
        <v>1895000</v>
      </c>
      <c r="G28" s="35">
        <f t="shared" si="1"/>
        <v>341100</v>
      </c>
      <c r="H28" s="36">
        <f t="shared" si="2"/>
        <v>2236100</v>
      </c>
      <c r="I28" s="12">
        <f>47.98</f>
        <v>47.98</v>
      </c>
      <c r="J28" s="12">
        <f t="shared" si="3"/>
        <v>52.02</v>
      </c>
      <c r="K28" s="35">
        <f t="shared" si="4"/>
        <v>909220.99999999988</v>
      </c>
      <c r="L28" s="35">
        <f t="shared" si="5"/>
        <v>163659.77999999997</v>
      </c>
      <c r="M28" s="35">
        <f t="shared" si="6"/>
        <v>90922.099999999991</v>
      </c>
      <c r="N28" s="36">
        <f t="shared" si="7"/>
        <v>981958.67999999982</v>
      </c>
      <c r="O28" s="36">
        <f t="shared" si="8"/>
        <v>985779.00000000012</v>
      </c>
      <c r="P28" s="12"/>
      <c r="R28" s="23"/>
    </row>
    <row r="29" spans="1:18" ht="71.25" customHeight="1" x14ac:dyDescent="0.25">
      <c r="A29" s="43">
        <v>15</v>
      </c>
      <c r="B29" s="44" t="s">
        <v>443</v>
      </c>
      <c r="C29" s="128" t="s">
        <v>32</v>
      </c>
      <c r="D29" s="91">
        <v>100</v>
      </c>
      <c r="E29" s="109">
        <v>47400</v>
      </c>
      <c r="F29" s="35">
        <f t="shared" si="0"/>
        <v>4740000</v>
      </c>
      <c r="G29" s="35">
        <f t="shared" si="1"/>
        <v>853200</v>
      </c>
      <c r="H29" s="36">
        <f t="shared" si="2"/>
        <v>5593200</v>
      </c>
      <c r="I29" s="12">
        <f>47.98</f>
        <v>47.98</v>
      </c>
      <c r="J29" s="12">
        <f t="shared" si="3"/>
        <v>52.02</v>
      </c>
      <c r="K29" s="35">
        <f t="shared" si="4"/>
        <v>2274252</v>
      </c>
      <c r="L29" s="35">
        <f t="shared" si="5"/>
        <v>409365.36</v>
      </c>
      <c r="M29" s="35">
        <f t="shared" si="6"/>
        <v>227425.2</v>
      </c>
      <c r="N29" s="36">
        <f t="shared" si="7"/>
        <v>2456192.1599999997</v>
      </c>
      <c r="O29" s="36">
        <f t="shared" si="8"/>
        <v>2465748</v>
      </c>
      <c r="P29" s="12"/>
      <c r="R29" s="23"/>
    </row>
    <row r="30" spans="1:18" ht="71.25" customHeight="1" x14ac:dyDescent="0.25">
      <c r="A30" s="43">
        <v>16</v>
      </c>
      <c r="B30" s="44" t="s">
        <v>444</v>
      </c>
      <c r="C30" s="128" t="s">
        <v>32</v>
      </c>
      <c r="D30" s="91">
        <v>100</v>
      </c>
      <c r="E30" s="109">
        <v>6310</v>
      </c>
      <c r="F30" s="35">
        <f t="shared" si="0"/>
        <v>631000</v>
      </c>
      <c r="G30" s="35">
        <f t="shared" si="1"/>
        <v>113580</v>
      </c>
      <c r="H30" s="36">
        <f t="shared" si="2"/>
        <v>744580</v>
      </c>
      <c r="I30" s="12"/>
      <c r="J30" s="12">
        <f t="shared" si="3"/>
        <v>100</v>
      </c>
      <c r="K30" s="35">
        <f t="shared" si="4"/>
        <v>0</v>
      </c>
      <c r="L30" s="35">
        <f t="shared" si="5"/>
        <v>0</v>
      </c>
      <c r="M30" s="35">
        <f t="shared" si="6"/>
        <v>0</v>
      </c>
      <c r="N30" s="36">
        <f t="shared" si="7"/>
        <v>0</v>
      </c>
      <c r="O30" s="36">
        <f t="shared" si="8"/>
        <v>631000</v>
      </c>
      <c r="P30" s="12"/>
      <c r="R30" s="23"/>
    </row>
    <row r="31" spans="1:18" ht="71.25" customHeight="1" x14ac:dyDescent="0.25">
      <c r="A31" s="43">
        <v>17</v>
      </c>
      <c r="B31" s="44" t="s">
        <v>445</v>
      </c>
      <c r="C31" s="128" t="s">
        <v>32</v>
      </c>
      <c r="D31" s="91">
        <v>100</v>
      </c>
      <c r="E31" s="109">
        <v>15780</v>
      </c>
      <c r="F31" s="35">
        <f t="shared" si="0"/>
        <v>1578000</v>
      </c>
      <c r="G31" s="35">
        <f t="shared" si="1"/>
        <v>284040</v>
      </c>
      <c r="H31" s="36">
        <f t="shared" si="2"/>
        <v>1862040</v>
      </c>
      <c r="I31" s="12"/>
      <c r="J31" s="12">
        <f t="shared" si="3"/>
        <v>100</v>
      </c>
      <c r="K31" s="35">
        <f t="shared" si="4"/>
        <v>0</v>
      </c>
      <c r="L31" s="35">
        <f t="shared" si="5"/>
        <v>0</v>
      </c>
      <c r="M31" s="35">
        <f t="shared" si="6"/>
        <v>0</v>
      </c>
      <c r="N31" s="36">
        <f t="shared" si="7"/>
        <v>0</v>
      </c>
      <c r="O31" s="36">
        <f t="shared" si="8"/>
        <v>1578000</v>
      </c>
      <c r="P31" s="12"/>
      <c r="R31" s="23"/>
    </row>
    <row r="32" spans="1:18" ht="71.25" customHeight="1" x14ac:dyDescent="0.25">
      <c r="A32" s="43">
        <v>18</v>
      </c>
      <c r="B32" s="44" t="s">
        <v>446</v>
      </c>
      <c r="C32" s="128" t="s">
        <v>32</v>
      </c>
      <c r="D32" s="91">
        <v>100</v>
      </c>
      <c r="E32" s="109">
        <v>12625</v>
      </c>
      <c r="F32" s="35">
        <f t="shared" si="0"/>
        <v>1262500</v>
      </c>
      <c r="G32" s="35">
        <f t="shared" si="1"/>
        <v>227250</v>
      </c>
      <c r="H32" s="36">
        <f t="shared" si="2"/>
        <v>1489750</v>
      </c>
      <c r="I32" s="12"/>
      <c r="J32" s="12">
        <f t="shared" si="3"/>
        <v>100</v>
      </c>
      <c r="K32" s="35">
        <f t="shared" si="4"/>
        <v>0</v>
      </c>
      <c r="L32" s="35">
        <f t="shared" si="5"/>
        <v>0</v>
      </c>
      <c r="M32" s="35">
        <f t="shared" si="6"/>
        <v>0</v>
      </c>
      <c r="N32" s="36">
        <f t="shared" si="7"/>
        <v>0</v>
      </c>
      <c r="O32" s="36">
        <f t="shared" si="8"/>
        <v>1262500</v>
      </c>
      <c r="P32" s="12"/>
      <c r="R32" s="23"/>
    </row>
    <row r="33" spans="1:18" ht="71.25" customHeight="1" x14ac:dyDescent="0.25">
      <c r="A33" s="43">
        <v>19</v>
      </c>
      <c r="B33" s="44" t="s">
        <v>447</v>
      </c>
      <c r="C33" s="128" t="s">
        <v>32</v>
      </c>
      <c r="D33" s="91">
        <v>100</v>
      </c>
      <c r="E33" s="109">
        <v>25260</v>
      </c>
      <c r="F33" s="35">
        <f t="shared" si="0"/>
        <v>2526000</v>
      </c>
      <c r="G33" s="35">
        <f t="shared" si="1"/>
        <v>454680</v>
      </c>
      <c r="H33" s="36">
        <f t="shared" si="2"/>
        <v>2980680</v>
      </c>
      <c r="I33" s="12"/>
      <c r="J33" s="12">
        <f t="shared" si="3"/>
        <v>100</v>
      </c>
      <c r="K33" s="35">
        <f t="shared" si="4"/>
        <v>0</v>
      </c>
      <c r="L33" s="35">
        <f t="shared" si="5"/>
        <v>0</v>
      </c>
      <c r="M33" s="35">
        <f t="shared" si="6"/>
        <v>0</v>
      </c>
      <c r="N33" s="36">
        <f t="shared" si="7"/>
        <v>0</v>
      </c>
      <c r="O33" s="36">
        <f t="shared" si="8"/>
        <v>2526000</v>
      </c>
      <c r="P33" s="12"/>
      <c r="R33" s="23"/>
    </row>
    <row r="34" spans="1:18" ht="71.25" customHeight="1" x14ac:dyDescent="0.25">
      <c r="A34" s="43">
        <v>20</v>
      </c>
      <c r="B34" s="44" t="s">
        <v>448</v>
      </c>
      <c r="C34" s="128" t="s">
        <v>32</v>
      </c>
      <c r="D34" s="91">
        <v>100</v>
      </c>
      <c r="E34" s="109">
        <v>3160</v>
      </c>
      <c r="F34" s="35">
        <f t="shared" si="0"/>
        <v>316000</v>
      </c>
      <c r="G34" s="35">
        <f t="shared" si="1"/>
        <v>56880</v>
      </c>
      <c r="H34" s="36">
        <f t="shared" si="2"/>
        <v>372880</v>
      </c>
      <c r="I34" s="12"/>
      <c r="J34" s="12">
        <f t="shared" si="3"/>
        <v>100</v>
      </c>
      <c r="K34" s="35">
        <f t="shared" si="4"/>
        <v>0</v>
      </c>
      <c r="L34" s="35">
        <f t="shared" si="5"/>
        <v>0</v>
      </c>
      <c r="M34" s="35">
        <f t="shared" si="6"/>
        <v>0</v>
      </c>
      <c r="N34" s="36">
        <f t="shared" si="7"/>
        <v>0</v>
      </c>
      <c r="O34" s="36">
        <f t="shared" si="8"/>
        <v>316000</v>
      </c>
      <c r="P34" s="12"/>
      <c r="R34" s="23"/>
    </row>
    <row r="35" spans="1:18" ht="71.25" customHeight="1" x14ac:dyDescent="0.25">
      <c r="A35" s="43">
        <v>21</v>
      </c>
      <c r="B35" s="44" t="s">
        <v>449</v>
      </c>
      <c r="C35" s="128" t="s">
        <v>32</v>
      </c>
      <c r="D35" s="91">
        <v>100</v>
      </c>
      <c r="E35" s="109">
        <v>22100</v>
      </c>
      <c r="F35" s="35">
        <f t="shared" si="0"/>
        <v>2210000</v>
      </c>
      <c r="G35" s="35">
        <f t="shared" si="1"/>
        <v>397800</v>
      </c>
      <c r="H35" s="36">
        <f t="shared" si="2"/>
        <v>2607800</v>
      </c>
      <c r="I35" s="12">
        <f>81.44+18.56</f>
        <v>100</v>
      </c>
      <c r="J35" s="12">
        <f t="shared" si="3"/>
        <v>0</v>
      </c>
      <c r="K35" s="35">
        <f t="shared" si="4"/>
        <v>2210000</v>
      </c>
      <c r="L35" s="35">
        <f t="shared" si="5"/>
        <v>397800</v>
      </c>
      <c r="M35" s="35">
        <f t="shared" si="6"/>
        <v>221000</v>
      </c>
      <c r="N35" s="36">
        <f t="shared" si="7"/>
        <v>2386800</v>
      </c>
      <c r="O35" s="36">
        <f t="shared" si="8"/>
        <v>0</v>
      </c>
      <c r="P35" s="12"/>
      <c r="R35" s="23"/>
    </row>
    <row r="36" spans="1:18" ht="71.25" customHeight="1" x14ac:dyDescent="0.25">
      <c r="A36" s="43">
        <v>22</v>
      </c>
      <c r="B36" s="44" t="s">
        <v>450</v>
      </c>
      <c r="C36" s="128" t="s">
        <v>32</v>
      </c>
      <c r="D36" s="91">
        <v>100</v>
      </c>
      <c r="E36" s="109">
        <v>18950</v>
      </c>
      <c r="F36" s="35">
        <f t="shared" si="0"/>
        <v>1895000</v>
      </c>
      <c r="G36" s="35">
        <f t="shared" si="1"/>
        <v>341100</v>
      </c>
      <c r="H36" s="36">
        <f t="shared" si="2"/>
        <v>2236100</v>
      </c>
      <c r="I36" s="12">
        <v>100</v>
      </c>
      <c r="J36" s="12">
        <f t="shared" si="3"/>
        <v>0</v>
      </c>
      <c r="K36" s="35">
        <f t="shared" si="4"/>
        <v>1895000</v>
      </c>
      <c r="L36" s="35">
        <f t="shared" si="5"/>
        <v>341100</v>
      </c>
      <c r="M36" s="35">
        <f t="shared" si="6"/>
        <v>189500</v>
      </c>
      <c r="N36" s="36">
        <f t="shared" si="7"/>
        <v>2046600</v>
      </c>
      <c r="O36" s="36">
        <f t="shared" si="8"/>
        <v>0</v>
      </c>
      <c r="P36" s="12"/>
      <c r="R36" s="23"/>
    </row>
    <row r="37" spans="1:18" ht="71.25" customHeight="1" x14ac:dyDescent="0.25">
      <c r="A37" s="43">
        <v>23</v>
      </c>
      <c r="B37" s="44" t="s">
        <v>451</v>
      </c>
      <c r="C37" s="128" t="s">
        <v>32</v>
      </c>
      <c r="D37" s="91">
        <v>100</v>
      </c>
      <c r="E37" s="109">
        <v>47360</v>
      </c>
      <c r="F37" s="35">
        <f t="shared" si="0"/>
        <v>4736000</v>
      </c>
      <c r="G37" s="35">
        <f t="shared" si="1"/>
        <v>852480</v>
      </c>
      <c r="H37" s="36">
        <f t="shared" si="2"/>
        <v>5588480</v>
      </c>
      <c r="I37" s="12">
        <v>100</v>
      </c>
      <c r="J37" s="12">
        <f t="shared" si="3"/>
        <v>0</v>
      </c>
      <c r="K37" s="35">
        <f t="shared" si="4"/>
        <v>4736000</v>
      </c>
      <c r="L37" s="35">
        <f t="shared" si="5"/>
        <v>852480</v>
      </c>
      <c r="M37" s="35">
        <f t="shared" si="6"/>
        <v>473600</v>
      </c>
      <c r="N37" s="36">
        <f t="shared" si="7"/>
        <v>5114880</v>
      </c>
      <c r="O37" s="36">
        <f t="shared" si="8"/>
        <v>0</v>
      </c>
      <c r="P37" s="12"/>
      <c r="R37" s="23"/>
    </row>
    <row r="38" spans="1:18" ht="71.25" customHeight="1" x14ac:dyDescent="0.25">
      <c r="A38" s="43">
        <v>24</v>
      </c>
      <c r="B38" s="44" t="s">
        <v>452</v>
      </c>
      <c r="C38" s="128" t="s">
        <v>32</v>
      </c>
      <c r="D38" s="91">
        <v>100</v>
      </c>
      <c r="E38" s="109">
        <v>6270</v>
      </c>
      <c r="F38" s="35">
        <f t="shared" si="0"/>
        <v>627000</v>
      </c>
      <c r="G38" s="35">
        <f t="shared" si="1"/>
        <v>112860</v>
      </c>
      <c r="H38" s="36">
        <f t="shared" si="2"/>
        <v>739860</v>
      </c>
      <c r="I38" s="12"/>
      <c r="J38" s="12">
        <f t="shared" si="3"/>
        <v>100</v>
      </c>
      <c r="K38" s="35">
        <f t="shared" si="4"/>
        <v>0</v>
      </c>
      <c r="L38" s="35">
        <f t="shared" si="5"/>
        <v>0</v>
      </c>
      <c r="M38" s="35">
        <f t="shared" si="6"/>
        <v>0</v>
      </c>
      <c r="N38" s="36">
        <f t="shared" si="7"/>
        <v>0</v>
      </c>
      <c r="O38" s="36">
        <f t="shared" si="8"/>
        <v>627000</v>
      </c>
      <c r="P38" s="12"/>
      <c r="R38" s="23"/>
    </row>
    <row r="39" spans="1:18" ht="71.25" customHeight="1" x14ac:dyDescent="0.25">
      <c r="A39" s="37" t="s">
        <v>56</v>
      </c>
      <c r="B39" s="38" t="s">
        <v>57</v>
      </c>
      <c r="C39" s="39"/>
      <c r="D39" s="40"/>
      <c r="E39" s="109"/>
      <c r="F39" s="35"/>
      <c r="G39" s="35"/>
      <c r="H39" s="36"/>
      <c r="I39" s="12"/>
      <c r="J39" s="12"/>
      <c r="K39" s="35"/>
      <c r="L39" s="35"/>
      <c r="M39" s="35"/>
      <c r="N39" s="36"/>
      <c r="O39" s="36"/>
      <c r="P39" s="12"/>
      <c r="R39" s="23"/>
    </row>
    <row r="40" spans="1:18" ht="71.25" customHeight="1" x14ac:dyDescent="0.25">
      <c r="A40" s="43">
        <v>1</v>
      </c>
      <c r="B40" s="44" t="s">
        <v>453</v>
      </c>
      <c r="C40" s="128" t="s">
        <v>32</v>
      </c>
      <c r="D40" s="91">
        <v>100</v>
      </c>
      <c r="E40" s="109">
        <v>18940</v>
      </c>
      <c r="F40" s="35">
        <f t="shared" si="0"/>
        <v>1894000</v>
      </c>
      <c r="G40" s="35">
        <f t="shared" si="1"/>
        <v>340920</v>
      </c>
      <c r="H40" s="36">
        <f t="shared" si="2"/>
        <v>2234920</v>
      </c>
      <c r="I40" s="12"/>
      <c r="J40" s="12">
        <f t="shared" si="3"/>
        <v>100</v>
      </c>
      <c r="K40" s="35">
        <f t="shared" si="4"/>
        <v>0</v>
      </c>
      <c r="L40" s="35">
        <f t="shared" si="5"/>
        <v>0</v>
      </c>
      <c r="M40" s="35">
        <f t="shared" si="6"/>
        <v>0</v>
      </c>
      <c r="N40" s="36">
        <f t="shared" si="7"/>
        <v>0</v>
      </c>
      <c r="O40" s="36">
        <f t="shared" si="8"/>
        <v>1894000</v>
      </c>
      <c r="P40" s="12"/>
      <c r="R40" s="23"/>
    </row>
    <row r="41" spans="1:18" ht="71.25" customHeight="1" x14ac:dyDescent="0.25">
      <c r="A41" s="43">
        <v>2</v>
      </c>
      <c r="B41" s="44" t="s">
        <v>454</v>
      </c>
      <c r="C41" s="128" t="s">
        <v>32</v>
      </c>
      <c r="D41" s="91">
        <v>100</v>
      </c>
      <c r="E41" s="109">
        <v>18940</v>
      </c>
      <c r="F41" s="35">
        <f t="shared" si="0"/>
        <v>1894000</v>
      </c>
      <c r="G41" s="35">
        <f t="shared" si="1"/>
        <v>340920</v>
      </c>
      <c r="H41" s="36">
        <f t="shared" si="2"/>
        <v>2234920</v>
      </c>
      <c r="I41" s="12"/>
      <c r="J41" s="12">
        <f t="shared" si="3"/>
        <v>100</v>
      </c>
      <c r="K41" s="35">
        <f t="shared" si="4"/>
        <v>0</v>
      </c>
      <c r="L41" s="35">
        <f t="shared" si="5"/>
        <v>0</v>
      </c>
      <c r="M41" s="35">
        <f t="shared" si="6"/>
        <v>0</v>
      </c>
      <c r="N41" s="36">
        <f t="shared" si="7"/>
        <v>0</v>
      </c>
      <c r="O41" s="36">
        <f t="shared" si="8"/>
        <v>1894000</v>
      </c>
      <c r="P41" s="12"/>
      <c r="R41" s="23"/>
    </row>
    <row r="42" spans="1:18" ht="71.25" customHeight="1" x14ac:dyDescent="0.25">
      <c r="A42" s="43">
        <v>3</v>
      </c>
      <c r="B42" s="44" t="s">
        <v>455</v>
      </c>
      <c r="C42" s="128" t="s">
        <v>32</v>
      </c>
      <c r="D42" s="91">
        <v>100</v>
      </c>
      <c r="E42" s="109">
        <v>18940</v>
      </c>
      <c r="F42" s="35">
        <f t="shared" si="0"/>
        <v>1894000</v>
      </c>
      <c r="G42" s="35">
        <f t="shared" si="1"/>
        <v>340920</v>
      </c>
      <c r="H42" s="36">
        <f t="shared" si="2"/>
        <v>2234920</v>
      </c>
      <c r="I42" s="12">
        <f>5.85</f>
        <v>5.85</v>
      </c>
      <c r="J42" s="12">
        <f t="shared" si="3"/>
        <v>94.15</v>
      </c>
      <c r="K42" s="35">
        <f t="shared" si="4"/>
        <v>110799</v>
      </c>
      <c r="L42" s="35">
        <f t="shared" si="5"/>
        <v>19943.82</v>
      </c>
      <c r="M42" s="35">
        <f t="shared" si="6"/>
        <v>11079.900000000001</v>
      </c>
      <c r="N42" s="36">
        <f t="shared" si="7"/>
        <v>119662.92000000001</v>
      </c>
      <c r="O42" s="36">
        <f t="shared" si="8"/>
        <v>1783201</v>
      </c>
      <c r="P42" s="12"/>
      <c r="R42" s="23"/>
    </row>
    <row r="43" spans="1:18" ht="71.25" customHeight="1" x14ac:dyDescent="0.25">
      <c r="A43" s="43">
        <v>4</v>
      </c>
      <c r="B43" s="44" t="s">
        <v>456</v>
      </c>
      <c r="C43" s="128" t="s">
        <v>32</v>
      </c>
      <c r="D43" s="91">
        <v>100</v>
      </c>
      <c r="E43" s="109">
        <v>18940</v>
      </c>
      <c r="F43" s="35">
        <f t="shared" si="0"/>
        <v>1894000</v>
      </c>
      <c r="G43" s="35">
        <f t="shared" si="1"/>
        <v>340920</v>
      </c>
      <c r="H43" s="36">
        <f t="shared" si="2"/>
        <v>2234920</v>
      </c>
      <c r="I43" s="12">
        <v>4.59</v>
      </c>
      <c r="J43" s="12">
        <f t="shared" si="3"/>
        <v>95.41</v>
      </c>
      <c r="K43" s="35">
        <f t="shared" si="4"/>
        <v>86934.599999999991</v>
      </c>
      <c r="L43" s="35">
        <f t="shared" si="5"/>
        <v>15648.227999999997</v>
      </c>
      <c r="M43" s="35">
        <f t="shared" si="6"/>
        <v>8693.4599999999991</v>
      </c>
      <c r="N43" s="36">
        <f t="shared" si="7"/>
        <v>93889.367999999988</v>
      </c>
      <c r="O43" s="36">
        <f t="shared" si="8"/>
        <v>1807065.4</v>
      </c>
      <c r="P43" s="12"/>
      <c r="R43" s="23"/>
    </row>
    <row r="44" spans="1:18" ht="71.25" customHeight="1" x14ac:dyDescent="0.25">
      <c r="A44" s="43">
        <v>5</v>
      </c>
      <c r="B44" s="44" t="s">
        <v>62</v>
      </c>
      <c r="C44" s="128" t="s">
        <v>32</v>
      </c>
      <c r="D44" s="91">
        <v>100</v>
      </c>
      <c r="E44" s="109">
        <v>18940</v>
      </c>
      <c r="F44" s="35">
        <f t="shared" si="0"/>
        <v>1894000</v>
      </c>
      <c r="G44" s="35">
        <f t="shared" si="1"/>
        <v>340920</v>
      </c>
      <c r="H44" s="36">
        <f t="shared" si="2"/>
        <v>2234920</v>
      </c>
      <c r="I44" s="12"/>
      <c r="J44" s="12">
        <f t="shared" si="3"/>
        <v>100</v>
      </c>
      <c r="K44" s="35">
        <f t="shared" si="4"/>
        <v>0</v>
      </c>
      <c r="L44" s="35">
        <f t="shared" si="5"/>
        <v>0</v>
      </c>
      <c r="M44" s="35">
        <f t="shared" si="6"/>
        <v>0</v>
      </c>
      <c r="N44" s="36">
        <f t="shared" si="7"/>
        <v>0</v>
      </c>
      <c r="O44" s="36">
        <f t="shared" si="8"/>
        <v>1894000</v>
      </c>
      <c r="P44" s="12"/>
      <c r="R44" s="23"/>
    </row>
    <row r="45" spans="1:18" ht="71.25" customHeight="1" x14ac:dyDescent="0.25">
      <c r="A45" s="43">
        <v>6</v>
      </c>
      <c r="B45" s="44" t="s">
        <v>63</v>
      </c>
      <c r="C45" s="128" t="s">
        <v>32</v>
      </c>
      <c r="D45" s="91">
        <v>100</v>
      </c>
      <c r="E45" s="109">
        <v>18940</v>
      </c>
      <c r="F45" s="35">
        <f t="shared" si="0"/>
        <v>1894000</v>
      </c>
      <c r="G45" s="35">
        <f t="shared" si="1"/>
        <v>340920</v>
      </c>
      <c r="H45" s="36">
        <f t="shared" si="2"/>
        <v>2234920</v>
      </c>
      <c r="I45" s="12">
        <f>87.12</f>
        <v>87.12</v>
      </c>
      <c r="J45" s="12">
        <f t="shared" si="3"/>
        <v>12.879999999999995</v>
      </c>
      <c r="K45" s="35">
        <f t="shared" si="4"/>
        <v>1650052.8</v>
      </c>
      <c r="L45" s="35">
        <f t="shared" si="5"/>
        <v>297009.50400000002</v>
      </c>
      <c r="M45" s="35">
        <f t="shared" si="6"/>
        <v>165005.28000000003</v>
      </c>
      <c r="N45" s="36">
        <f t="shared" si="7"/>
        <v>1782057.024</v>
      </c>
      <c r="O45" s="36">
        <f t="shared" si="8"/>
        <v>243947.19999999992</v>
      </c>
      <c r="P45" s="12"/>
      <c r="R45" s="23"/>
    </row>
    <row r="46" spans="1:18" ht="71.25" customHeight="1" x14ac:dyDescent="0.25">
      <c r="A46" s="43">
        <v>7</v>
      </c>
      <c r="B46" s="44" t="s">
        <v>64</v>
      </c>
      <c r="C46" s="128" t="s">
        <v>32</v>
      </c>
      <c r="D46" s="91">
        <v>100</v>
      </c>
      <c r="E46" s="109">
        <v>12650</v>
      </c>
      <c r="F46" s="35">
        <f t="shared" si="0"/>
        <v>1265000</v>
      </c>
      <c r="G46" s="35">
        <f t="shared" si="1"/>
        <v>227700</v>
      </c>
      <c r="H46" s="36">
        <f t="shared" si="2"/>
        <v>1492700</v>
      </c>
      <c r="I46" s="12"/>
      <c r="J46" s="12">
        <f t="shared" si="3"/>
        <v>100</v>
      </c>
      <c r="K46" s="35">
        <f t="shared" si="4"/>
        <v>0</v>
      </c>
      <c r="L46" s="35">
        <f t="shared" si="5"/>
        <v>0</v>
      </c>
      <c r="M46" s="35">
        <f t="shared" si="6"/>
        <v>0</v>
      </c>
      <c r="N46" s="36">
        <f t="shared" si="7"/>
        <v>0</v>
      </c>
      <c r="O46" s="36">
        <f t="shared" si="8"/>
        <v>1265000</v>
      </c>
      <c r="P46" s="12"/>
      <c r="R46" s="23"/>
    </row>
    <row r="47" spans="1:18" ht="71.25" customHeight="1" x14ac:dyDescent="0.25">
      <c r="A47" s="37" t="s">
        <v>65</v>
      </c>
      <c r="B47" s="38" t="s">
        <v>66</v>
      </c>
      <c r="C47" s="39"/>
      <c r="D47" s="40"/>
      <c r="E47" s="109"/>
      <c r="F47" s="35"/>
      <c r="G47" s="35"/>
      <c r="H47" s="36"/>
      <c r="I47" s="12"/>
      <c r="J47" s="12"/>
      <c r="K47" s="35"/>
      <c r="L47" s="35"/>
      <c r="M47" s="35"/>
      <c r="N47" s="36"/>
      <c r="O47" s="36"/>
      <c r="P47" s="12"/>
      <c r="R47" s="23"/>
    </row>
    <row r="48" spans="1:18" ht="71.25" customHeight="1" x14ac:dyDescent="0.25">
      <c r="A48" s="43">
        <v>1</v>
      </c>
      <c r="B48" s="44" t="s">
        <v>67</v>
      </c>
      <c r="C48" s="128" t="s">
        <v>32</v>
      </c>
      <c r="D48" s="91">
        <v>100</v>
      </c>
      <c r="E48" s="109">
        <v>31570</v>
      </c>
      <c r="F48" s="35">
        <f t="shared" si="0"/>
        <v>3157000</v>
      </c>
      <c r="G48" s="35">
        <f t="shared" si="1"/>
        <v>568260</v>
      </c>
      <c r="H48" s="36">
        <f t="shared" si="2"/>
        <v>3725260</v>
      </c>
      <c r="I48" s="12"/>
      <c r="J48" s="12">
        <f t="shared" si="3"/>
        <v>100</v>
      </c>
      <c r="K48" s="35">
        <f t="shared" si="4"/>
        <v>0</v>
      </c>
      <c r="L48" s="35">
        <f t="shared" si="5"/>
        <v>0</v>
      </c>
      <c r="M48" s="35">
        <f t="shared" si="6"/>
        <v>0</v>
      </c>
      <c r="N48" s="36">
        <f t="shared" si="7"/>
        <v>0</v>
      </c>
      <c r="O48" s="36">
        <f t="shared" si="8"/>
        <v>3157000</v>
      </c>
      <c r="P48" s="12"/>
      <c r="R48" s="23"/>
    </row>
    <row r="49" spans="1:18" ht="71.25" customHeight="1" x14ac:dyDescent="0.25">
      <c r="A49" s="43">
        <v>2</v>
      </c>
      <c r="B49" s="44" t="s">
        <v>68</v>
      </c>
      <c r="C49" s="128" t="s">
        <v>32</v>
      </c>
      <c r="D49" s="91">
        <v>100</v>
      </c>
      <c r="E49" s="109">
        <v>31570</v>
      </c>
      <c r="F49" s="35">
        <f t="shared" si="0"/>
        <v>3157000</v>
      </c>
      <c r="G49" s="35">
        <f t="shared" si="1"/>
        <v>568260</v>
      </c>
      <c r="H49" s="36">
        <f t="shared" si="2"/>
        <v>3725260</v>
      </c>
      <c r="I49" s="12"/>
      <c r="J49" s="12">
        <f t="shared" si="3"/>
        <v>100</v>
      </c>
      <c r="K49" s="35">
        <f t="shared" si="4"/>
        <v>0</v>
      </c>
      <c r="L49" s="35">
        <f t="shared" si="5"/>
        <v>0</v>
      </c>
      <c r="M49" s="35">
        <f t="shared" si="6"/>
        <v>0</v>
      </c>
      <c r="N49" s="36">
        <f t="shared" si="7"/>
        <v>0</v>
      </c>
      <c r="O49" s="36">
        <f t="shared" si="8"/>
        <v>3157000</v>
      </c>
      <c r="P49" s="12"/>
      <c r="R49" s="23"/>
    </row>
    <row r="50" spans="1:18" ht="71.25" customHeight="1" x14ac:dyDescent="0.25">
      <c r="A50" s="43">
        <v>3</v>
      </c>
      <c r="B50" s="44" t="s">
        <v>69</v>
      </c>
      <c r="C50" s="128" t="s">
        <v>32</v>
      </c>
      <c r="D50" s="91">
        <v>100</v>
      </c>
      <c r="E50" s="109">
        <v>31570</v>
      </c>
      <c r="F50" s="35">
        <f t="shared" si="0"/>
        <v>3157000</v>
      </c>
      <c r="G50" s="35">
        <f t="shared" si="1"/>
        <v>568260</v>
      </c>
      <c r="H50" s="36">
        <f t="shared" si="2"/>
        <v>3725260</v>
      </c>
      <c r="I50" s="12"/>
      <c r="J50" s="12">
        <f t="shared" si="3"/>
        <v>100</v>
      </c>
      <c r="K50" s="35">
        <f t="shared" si="4"/>
        <v>0</v>
      </c>
      <c r="L50" s="35">
        <f t="shared" si="5"/>
        <v>0</v>
      </c>
      <c r="M50" s="35">
        <f t="shared" si="6"/>
        <v>0</v>
      </c>
      <c r="N50" s="36">
        <f t="shared" si="7"/>
        <v>0</v>
      </c>
      <c r="O50" s="36">
        <f t="shared" si="8"/>
        <v>3157000</v>
      </c>
      <c r="P50" s="12"/>
      <c r="R50" s="23"/>
    </row>
    <row r="51" spans="1:18" ht="71.25" customHeight="1" x14ac:dyDescent="0.25">
      <c r="A51" s="43">
        <v>4</v>
      </c>
      <c r="B51" s="44" t="s">
        <v>70</v>
      </c>
      <c r="C51" s="128" t="s">
        <v>32</v>
      </c>
      <c r="D51" s="91">
        <v>100</v>
      </c>
      <c r="E51" s="109">
        <v>31570</v>
      </c>
      <c r="F51" s="35">
        <f t="shared" si="0"/>
        <v>3157000</v>
      </c>
      <c r="G51" s="35">
        <f t="shared" si="1"/>
        <v>568260</v>
      </c>
      <c r="H51" s="36">
        <f t="shared" si="2"/>
        <v>3725260</v>
      </c>
      <c r="I51" s="12"/>
      <c r="J51" s="12">
        <f t="shared" si="3"/>
        <v>100</v>
      </c>
      <c r="K51" s="35">
        <f t="shared" si="4"/>
        <v>0</v>
      </c>
      <c r="L51" s="35">
        <f t="shared" si="5"/>
        <v>0</v>
      </c>
      <c r="M51" s="35">
        <f t="shared" si="6"/>
        <v>0</v>
      </c>
      <c r="N51" s="36">
        <f t="shared" si="7"/>
        <v>0</v>
      </c>
      <c r="O51" s="36">
        <f t="shared" si="8"/>
        <v>3157000</v>
      </c>
      <c r="P51" s="12"/>
      <c r="R51" s="23"/>
    </row>
    <row r="52" spans="1:18" ht="71.25" customHeight="1" x14ac:dyDescent="0.25">
      <c r="A52" s="43">
        <v>5</v>
      </c>
      <c r="B52" s="44" t="s">
        <v>71</v>
      </c>
      <c r="C52" s="128" t="s">
        <v>32</v>
      </c>
      <c r="D52" s="91">
        <v>100</v>
      </c>
      <c r="E52" s="109">
        <v>31570</v>
      </c>
      <c r="F52" s="35">
        <f t="shared" si="0"/>
        <v>3157000</v>
      </c>
      <c r="G52" s="35">
        <f t="shared" si="1"/>
        <v>568260</v>
      </c>
      <c r="H52" s="36">
        <f t="shared" si="2"/>
        <v>3725260</v>
      </c>
      <c r="I52" s="12"/>
      <c r="J52" s="12">
        <f t="shared" si="3"/>
        <v>100</v>
      </c>
      <c r="K52" s="35">
        <f t="shared" si="4"/>
        <v>0</v>
      </c>
      <c r="L52" s="35">
        <f t="shared" si="5"/>
        <v>0</v>
      </c>
      <c r="M52" s="35">
        <f t="shared" si="6"/>
        <v>0</v>
      </c>
      <c r="N52" s="36">
        <f t="shared" si="7"/>
        <v>0</v>
      </c>
      <c r="O52" s="36">
        <f t="shared" si="8"/>
        <v>3157000</v>
      </c>
      <c r="P52" s="12"/>
      <c r="R52" s="23"/>
    </row>
    <row r="53" spans="1:18" ht="71.25" customHeight="1" x14ac:dyDescent="0.25">
      <c r="A53" s="43">
        <v>6</v>
      </c>
      <c r="B53" s="44" t="s">
        <v>72</v>
      </c>
      <c r="C53" s="128" t="s">
        <v>32</v>
      </c>
      <c r="D53" s="91">
        <v>100</v>
      </c>
      <c r="E53" s="109">
        <v>31570</v>
      </c>
      <c r="F53" s="35">
        <f t="shared" si="0"/>
        <v>3157000</v>
      </c>
      <c r="G53" s="35">
        <f t="shared" si="1"/>
        <v>568260</v>
      </c>
      <c r="H53" s="36">
        <f t="shared" si="2"/>
        <v>3725260</v>
      </c>
      <c r="I53" s="12"/>
      <c r="J53" s="12">
        <f t="shared" si="3"/>
        <v>100</v>
      </c>
      <c r="K53" s="35">
        <f t="shared" si="4"/>
        <v>0</v>
      </c>
      <c r="L53" s="35">
        <f t="shared" si="5"/>
        <v>0</v>
      </c>
      <c r="M53" s="35">
        <f t="shared" si="6"/>
        <v>0</v>
      </c>
      <c r="N53" s="36">
        <f t="shared" si="7"/>
        <v>0</v>
      </c>
      <c r="O53" s="36">
        <f t="shared" si="8"/>
        <v>3157000</v>
      </c>
      <c r="P53" s="12"/>
      <c r="R53" s="23"/>
    </row>
    <row r="54" spans="1:18" ht="71.25" customHeight="1" x14ac:dyDescent="0.25">
      <c r="A54" s="43">
        <v>7</v>
      </c>
      <c r="B54" s="44" t="s">
        <v>73</v>
      </c>
      <c r="C54" s="128" t="s">
        <v>32</v>
      </c>
      <c r="D54" s="91">
        <v>100</v>
      </c>
      <c r="E54" s="109">
        <v>31570</v>
      </c>
      <c r="F54" s="35">
        <f t="shared" si="0"/>
        <v>3157000</v>
      </c>
      <c r="G54" s="35">
        <f t="shared" si="1"/>
        <v>568260</v>
      </c>
      <c r="H54" s="36">
        <f t="shared" si="2"/>
        <v>3725260</v>
      </c>
      <c r="I54" s="12"/>
      <c r="J54" s="12">
        <f t="shared" si="3"/>
        <v>100</v>
      </c>
      <c r="K54" s="35">
        <f t="shared" si="4"/>
        <v>0</v>
      </c>
      <c r="L54" s="35">
        <f t="shared" si="5"/>
        <v>0</v>
      </c>
      <c r="M54" s="35">
        <f t="shared" si="6"/>
        <v>0</v>
      </c>
      <c r="N54" s="36">
        <f t="shared" si="7"/>
        <v>0</v>
      </c>
      <c r="O54" s="36">
        <f t="shared" si="8"/>
        <v>3157000</v>
      </c>
      <c r="P54" s="12"/>
      <c r="R54" s="23"/>
    </row>
    <row r="55" spans="1:18" ht="71.25" customHeight="1" x14ac:dyDescent="0.25">
      <c r="A55" s="43">
        <v>8</v>
      </c>
      <c r="B55" s="44" t="s">
        <v>74</v>
      </c>
      <c r="C55" s="128" t="s">
        <v>32</v>
      </c>
      <c r="D55" s="91">
        <v>100</v>
      </c>
      <c r="E55" s="109">
        <v>31570</v>
      </c>
      <c r="F55" s="35">
        <f t="shared" si="0"/>
        <v>3157000</v>
      </c>
      <c r="G55" s="35">
        <f t="shared" si="1"/>
        <v>568260</v>
      </c>
      <c r="H55" s="36">
        <f t="shared" si="2"/>
        <v>3725260</v>
      </c>
      <c r="I55" s="12"/>
      <c r="J55" s="12">
        <f t="shared" si="3"/>
        <v>100</v>
      </c>
      <c r="K55" s="35">
        <f t="shared" si="4"/>
        <v>0</v>
      </c>
      <c r="L55" s="35">
        <f t="shared" si="5"/>
        <v>0</v>
      </c>
      <c r="M55" s="35">
        <f t="shared" si="6"/>
        <v>0</v>
      </c>
      <c r="N55" s="36">
        <f t="shared" si="7"/>
        <v>0</v>
      </c>
      <c r="O55" s="36">
        <f t="shared" si="8"/>
        <v>3157000</v>
      </c>
      <c r="P55" s="12"/>
      <c r="R55" s="23"/>
    </row>
    <row r="56" spans="1:18" ht="71.25" customHeight="1" x14ac:dyDescent="0.25">
      <c r="A56" s="43">
        <v>9</v>
      </c>
      <c r="B56" s="44" t="s">
        <v>75</v>
      </c>
      <c r="C56" s="128" t="s">
        <v>32</v>
      </c>
      <c r="D56" s="91">
        <v>100</v>
      </c>
      <c r="E56" s="109">
        <v>22100</v>
      </c>
      <c r="F56" s="35">
        <f t="shared" si="0"/>
        <v>2210000</v>
      </c>
      <c r="G56" s="35">
        <f t="shared" si="1"/>
        <v>397800</v>
      </c>
      <c r="H56" s="36">
        <f t="shared" si="2"/>
        <v>2607800</v>
      </c>
      <c r="I56" s="12"/>
      <c r="J56" s="12">
        <f t="shared" si="3"/>
        <v>100</v>
      </c>
      <c r="K56" s="35">
        <f t="shared" si="4"/>
        <v>0</v>
      </c>
      <c r="L56" s="35">
        <f t="shared" si="5"/>
        <v>0</v>
      </c>
      <c r="M56" s="35">
        <f t="shared" si="6"/>
        <v>0</v>
      </c>
      <c r="N56" s="36">
        <f t="shared" si="7"/>
        <v>0</v>
      </c>
      <c r="O56" s="36">
        <f t="shared" si="8"/>
        <v>2210000</v>
      </c>
      <c r="P56" s="12"/>
      <c r="R56" s="23"/>
    </row>
    <row r="57" spans="1:18" ht="71.25" customHeight="1" x14ac:dyDescent="0.25">
      <c r="A57" s="43">
        <v>10</v>
      </c>
      <c r="B57" s="44" t="s">
        <v>457</v>
      </c>
      <c r="C57" s="128" t="s">
        <v>32</v>
      </c>
      <c r="D57" s="91">
        <v>100</v>
      </c>
      <c r="E57" s="109">
        <v>18800</v>
      </c>
      <c r="F57" s="35">
        <f t="shared" si="0"/>
        <v>1880000</v>
      </c>
      <c r="G57" s="35">
        <f t="shared" si="1"/>
        <v>338400</v>
      </c>
      <c r="H57" s="36">
        <f t="shared" si="2"/>
        <v>2218400</v>
      </c>
      <c r="I57" s="12"/>
      <c r="J57" s="12">
        <f t="shared" si="3"/>
        <v>100</v>
      </c>
      <c r="K57" s="35">
        <f t="shared" si="4"/>
        <v>0</v>
      </c>
      <c r="L57" s="35">
        <f t="shared" si="5"/>
        <v>0</v>
      </c>
      <c r="M57" s="35">
        <f t="shared" si="6"/>
        <v>0</v>
      </c>
      <c r="N57" s="36">
        <f t="shared" si="7"/>
        <v>0</v>
      </c>
      <c r="O57" s="36">
        <f t="shared" si="8"/>
        <v>1880000</v>
      </c>
      <c r="P57" s="12"/>
      <c r="R57" s="23"/>
    </row>
    <row r="58" spans="1:18" ht="71.25" customHeight="1" x14ac:dyDescent="0.25">
      <c r="A58" s="43">
        <v>11</v>
      </c>
      <c r="B58" s="44" t="s">
        <v>77</v>
      </c>
      <c r="C58" s="128" t="s">
        <v>32</v>
      </c>
      <c r="D58" s="91">
        <v>100</v>
      </c>
      <c r="E58" s="109">
        <v>50500</v>
      </c>
      <c r="F58" s="35">
        <f t="shared" si="0"/>
        <v>5050000</v>
      </c>
      <c r="G58" s="35">
        <f t="shared" si="1"/>
        <v>909000</v>
      </c>
      <c r="H58" s="36">
        <f t="shared" si="2"/>
        <v>5959000</v>
      </c>
      <c r="I58" s="12"/>
      <c r="J58" s="12">
        <f t="shared" si="3"/>
        <v>100</v>
      </c>
      <c r="K58" s="35">
        <f t="shared" si="4"/>
        <v>0</v>
      </c>
      <c r="L58" s="35">
        <f t="shared" si="5"/>
        <v>0</v>
      </c>
      <c r="M58" s="35">
        <f t="shared" si="6"/>
        <v>0</v>
      </c>
      <c r="N58" s="36">
        <f t="shared" si="7"/>
        <v>0</v>
      </c>
      <c r="O58" s="36">
        <f t="shared" si="8"/>
        <v>5050000</v>
      </c>
      <c r="P58" s="12"/>
      <c r="R58" s="23"/>
    </row>
    <row r="59" spans="1:18" ht="71.25" customHeight="1" x14ac:dyDescent="0.25">
      <c r="A59" s="43">
        <v>12</v>
      </c>
      <c r="B59" s="44" t="s">
        <v>78</v>
      </c>
      <c r="C59" s="128" t="s">
        <v>32</v>
      </c>
      <c r="D59" s="91">
        <v>100</v>
      </c>
      <c r="E59" s="109">
        <v>31570</v>
      </c>
      <c r="F59" s="35">
        <f t="shared" si="0"/>
        <v>3157000</v>
      </c>
      <c r="G59" s="35">
        <f t="shared" si="1"/>
        <v>568260</v>
      </c>
      <c r="H59" s="36">
        <f t="shared" si="2"/>
        <v>3725260</v>
      </c>
      <c r="I59" s="12"/>
      <c r="J59" s="12">
        <f t="shared" si="3"/>
        <v>100</v>
      </c>
      <c r="K59" s="35">
        <f t="shared" si="4"/>
        <v>0</v>
      </c>
      <c r="L59" s="35">
        <f t="shared" si="5"/>
        <v>0</v>
      </c>
      <c r="M59" s="35">
        <f t="shared" si="6"/>
        <v>0</v>
      </c>
      <c r="N59" s="36">
        <f t="shared" si="7"/>
        <v>0</v>
      </c>
      <c r="O59" s="36">
        <f t="shared" si="8"/>
        <v>3157000</v>
      </c>
      <c r="P59" s="12"/>
      <c r="R59" s="23"/>
    </row>
    <row r="60" spans="1:18" ht="71.25" customHeight="1" x14ac:dyDescent="0.25">
      <c r="A60" s="43">
        <v>13</v>
      </c>
      <c r="B60" s="44" t="s">
        <v>79</v>
      </c>
      <c r="C60" s="128" t="s">
        <v>32</v>
      </c>
      <c r="D60" s="91">
        <v>100</v>
      </c>
      <c r="E60" s="109">
        <v>9480</v>
      </c>
      <c r="F60" s="35">
        <f t="shared" si="0"/>
        <v>948000</v>
      </c>
      <c r="G60" s="35">
        <f t="shared" si="1"/>
        <v>170640</v>
      </c>
      <c r="H60" s="36">
        <f t="shared" si="2"/>
        <v>1118640</v>
      </c>
      <c r="I60" s="12"/>
      <c r="J60" s="12">
        <f t="shared" si="3"/>
        <v>100</v>
      </c>
      <c r="K60" s="35">
        <f t="shared" si="4"/>
        <v>0</v>
      </c>
      <c r="L60" s="35">
        <f t="shared" si="5"/>
        <v>0</v>
      </c>
      <c r="M60" s="35">
        <f t="shared" si="6"/>
        <v>0</v>
      </c>
      <c r="N60" s="36">
        <f t="shared" si="7"/>
        <v>0</v>
      </c>
      <c r="O60" s="36">
        <f t="shared" si="8"/>
        <v>948000</v>
      </c>
      <c r="P60" s="12"/>
      <c r="R60" s="23"/>
    </row>
    <row r="61" spans="1:18" ht="71.25" customHeight="1" x14ac:dyDescent="0.25">
      <c r="A61" s="43">
        <v>14</v>
      </c>
      <c r="B61" s="44" t="s">
        <v>80</v>
      </c>
      <c r="C61" s="128" t="s">
        <v>32</v>
      </c>
      <c r="D61" s="91">
        <v>100</v>
      </c>
      <c r="E61" s="109">
        <v>6320</v>
      </c>
      <c r="F61" s="35">
        <f t="shared" si="0"/>
        <v>632000</v>
      </c>
      <c r="G61" s="35">
        <f t="shared" si="1"/>
        <v>113760</v>
      </c>
      <c r="H61" s="36">
        <f t="shared" si="2"/>
        <v>745760</v>
      </c>
      <c r="I61" s="12"/>
      <c r="J61" s="12">
        <f t="shared" si="3"/>
        <v>100</v>
      </c>
      <c r="K61" s="35">
        <f t="shared" si="4"/>
        <v>0</v>
      </c>
      <c r="L61" s="35">
        <f t="shared" si="5"/>
        <v>0</v>
      </c>
      <c r="M61" s="35">
        <f t="shared" si="6"/>
        <v>0</v>
      </c>
      <c r="N61" s="36">
        <f t="shared" si="7"/>
        <v>0</v>
      </c>
      <c r="O61" s="36">
        <f t="shared" si="8"/>
        <v>632000</v>
      </c>
      <c r="P61" s="12"/>
      <c r="R61" s="23"/>
    </row>
    <row r="62" spans="1:18" ht="71.25" customHeight="1" x14ac:dyDescent="0.25">
      <c r="A62" s="43">
        <v>15</v>
      </c>
      <c r="B62" s="44" t="s">
        <v>81</v>
      </c>
      <c r="C62" s="128" t="s">
        <v>32</v>
      </c>
      <c r="D62" s="91">
        <v>100</v>
      </c>
      <c r="E62" s="109">
        <v>3160</v>
      </c>
      <c r="F62" s="35">
        <f t="shared" si="0"/>
        <v>316000</v>
      </c>
      <c r="G62" s="35">
        <f t="shared" si="1"/>
        <v>56880</v>
      </c>
      <c r="H62" s="36">
        <f t="shared" si="2"/>
        <v>372880</v>
      </c>
      <c r="I62" s="12"/>
      <c r="J62" s="12">
        <f t="shared" si="3"/>
        <v>100</v>
      </c>
      <c r="K62" s="35">
        <f t="shared" si="4"/>
        <v>0</v>
      </c>
      <c r="L62" s="35">
        <f t="shared" si="5"/>
        <v>0</v>
      </c>
      <c r="M62" s="35">
        <f t="shared" si="6"/>
        <v>0</v>
      </c>
      <c r="N62" s="36">
        <f t="shared" si="7"/>
        <v>0</v>
      </c>
      <c r="O62" s="36">
        <f t="shared" si="8"/>
        <v>316000</v>
      </c>
      <c r="P62" s="12"/>
      <c r="R62" s="23"/>
    </row>
    <row r="63" spans="1:18" ht="71.25" customHeight="1" x14ac:dyDescent="0.25">
      <c r="A63" s="43">
        <v>16</v>
      </c>
      <c r="B63" s="44" t="s">
        <v>82</v>
      </c>
      <c r="C63" s="128" t="s">
        <v>32</v>
      </c>
      <c r="D63" s="91">
        <v>100</v>
      </c>
      <c r="E63" s="109">
        <v>47360</v>
      </c>
      <c r="F63" s="35">
        <f t="shared" si="0"/>
        <v>4736000</v>
      </c>
      <c r="G63" s="35">
        <f t="shared" si="1"/>
        <v>852480</v>
      </c>
      <c r="H63" s="36">
        <f t="shared" si="2"/>
        <v>5588480</v>
      </c>
      <c r="I63" s="12">
        <f>20</f>
        <v>20</v>
      </c>
      <c r="J63" s="12">
        <f t="shared" si="3"/>
        <v>80</v>
      </c>
      <c r="K63" s="35">
        <f t="shared" si="4"/>
        <v>947200</v>
      </c>
      <c r="L63" s="35">
        <f t="shared" si="5"/>
        <v>170496</v>
      </c>
      <c r="M63" s="35">
        <f t="shared" si="6"/>
        <v>94720</v>
      </c>
      <c r="N63" s="36">
        <f t="shared" si="7"/>
        <v>1022976</v>
      </c>
      <c r="O63" s="36">
        <f t="shared" si="8"/>
        <v>3788800</v>
      </c>
      <c r="P63" s="12"/>
      <c r="R63" s="23"/>
    </row>
    <row r="64" spans="1:18" ht="71.25" customHeight="1" x14ac:dyDescent="0.25">
      <c r="A64" s="43">
        <v>17</v>
      </c>
      <c r="B64" s="44" t="s">
        <v>83</v>
      </c>
      <c r="C64" s="128" t="s">
        <v>32</v>
      </c>
      <c r="D64" s="91">
        <v>100</v>
      </c>
      <c r="E64" s="109">
        <v>6330</v>
      </c>
      <c r="F64" s="35">
        <f t="shared" si="0"/>
        <v>633000</v>
      </c>
      <c r="G64" s="35">
        <f t="shared" si="1"/>
        <v>113940</v>
      </c>
      <c r="H64" s="36">
        <f t="shared" si="2"/>
        <v>746940</v>
      </c>
      <c r="I64" s="12"/>
      <c r="J64" s="12">
        <f t="shared" si="3"/>
        <v>100</v>
      </c>
      <c r="K64" s="35">
        <f t="shared" si="4"/>
        <v>0</v>
      </c>
      <c r="L64" s="35">
        <f t="shared" si="5"/>
        <v>0</v>
      </c>
      <c r="M64" s="35">
        <f t="shared" si="6"/>
        <v>0</v>
      </c>
      <c r="N64" s="36">
        <f t="shared" si="7"/>
        <v>0</v>
      </c>
      <c r="O64" s="36">
        <f t="shared" si="8"/>
        <v>633000</v>
      </c>
      <c r="P64" s="12"/>
      <c r="R64" s="23"/>
    </row>
    <row r="65" spans="1:18" ht="71.25" customHeight="1" x14ac:dyDescent="0.25">
      <c r="A65" s="43">
        <v>18</v>
      </c>
      <c r="B65" s="44" t="s">
        <v>84</v>
      </c>
      <c r="C65" s="128" t="s">
        <v>32</v>
      </c>
      <c r="D65" s="91">
        <v>100</v>
      </c>
      <c r="E65" s="109">
        <v>9500</v>
      </c>
      <c r="F65" s="35">
        <f t="shared" si="0"/>
        <v>950000</v>
      </c>
      <c r="G65" s="35">
        <f t="shared" si="1"/>
        <v>171000</v>
      </c>
      <c r="H65" s="36">
        <f t="shared" si="2"/>
        <v>1121000</v>
      </c>
      <c r="I65" s="12"/>
      <c r="J65" s="12">
        <f t="shared" si="3"/>
        <v>100</v>
      </c>
      <c r="K65" s="35">
        <f t="shared" si="4"/>
        <v>0</v>
      </c>
      <c r="L65" s="35">
        <f t="shared" si="5"/>
        <v>0</v>
      </c>
      <c r="M65" s="35">
        <f t="shared" si="6"/>
        <v>0</v>
      </c>
      <c r="N65" s="36">
        <f t="shared" si="7"/>
        <v>0</v>
      </c>
      <c r="O65" s="36">
        <f t="shared" si="8"/>
        <v>950000</v>
      </c>
      <c r="P65" s="12"/>
      <c r="R65" s="23"/>
    </row>
    <row r="66" spans="1:18" ht="71.25" customHeight="1" x14ac:dyDescent="0.25">
      <c r="A66" s="43">
        <v>19</v>
      </c>
      <c r="B66" s="44" t="s">
        <v>85</v>
      </c>
      <c r="C66" s="128" t="s">
        <v>32</v>
      </c>
      <c r="D66" s="91">
        <v>100</v>
      </c>
      <c r="E66" s="109">
        <v>25300</v>
      </c>
      <c r="F66" s="35">
        <f t="shared" si="0"/>
        <v>2530000</v>
      </c>
      <c r="G66" s="35">
        <f t="shared" si="1"/>
        <v>455400</v>
      </c>
      <c r="H66" s="36">
        <f t="shared" si="2"/>
        <v>2985400</v>
      </c>
      <c r="I66" s="12">
        <v>100</v>
      </c>
      <c r="J66" s="12">
        <f t="shared" si="3"/>
        <v>0</v>
      </c>
      <c r="K66" s="35">
        <f t="shared" si="4"/>
        <v>2530000</v>
      </c>
      <c r="L66" s="35">
        <f t="shared" si="5"/>
        <v>455400</v>
      </c>
      <c r="M66" s="35">
        <f t="shared" si="6"/>
        <v>253000</v>
      </c>
      <c r="N66" s="36">
        <f t="shared" si="7"/>
        <v>2732400</v>
      </c>
      <c r="O66" s="36">
        <f t="shared" si="8"/>
        <v>0</v>
      </c>
      <c r="P66" s="12"/>
      <c r="R66" s="23"/>
    </row>
    <row r="67" spans="1:18" ht="71.25" customHeight="1" x14ac:dyDescent="0.25">
      <c r="A67" s="37" t="s">
        <v>86</v>
      </c>
      <c r="B67" s="38" t="s">
        <v>87</v>
      </c>
      <c r="C67" s="39"/>
      <c r="D67" s="40"/>
      <c r="E67" s="41"/>
      <c r="F67" s="42"/>
      <c r="G67" s="35"/>
      <c r="H67" s="36"/>
      <c r="I67" s="12"/>
      <c r="J67" s="12"/>
      <c r="K67" s="35"/>
      <c r="L67" s="35"/>
      <c r="M67" s="35"/>
      <c r="N67" s="36"/>
      <c r="O67" s="36"/>
      <c r="P67" s="12"/>
      <c r="R67" s="23"/>
    </row>
    <row r="68" spans="1:18" ht="71.25" customHeight="1" x14ac:dyDescent="0.25">
      <c r="A68" s="43">
        <v>1</v>
      </c>
      <c r="B68" s="44" t="s">
        <v>88</v>
      </c>
      <c r="C68" s="128" t="s">
        <v>32</v>
      </c>
      <c r="D68" s="91">
        <v>100</v>
      </c>
      <c r="E68" s="109">
        <v>63135</v>
      </c>
      <c r="F68" s="35">
        <f t="shared" si="0"/>
        <v>6313500</v>
      </c>
      <c r="G68" s="35">
        <f t="shared" si="1"/>
        <v>1136430</v>
      </c>
      <c r="H68" s="36">
        <f t="shared" si="2"/>
        <v>7449930</v>
      </c>
      <c r="I68" s="12">
        <f>86.27+13.73</f>
        <v>100</v>
      </c>
      <c r="J68" s="12">
        <f t="shared" si="3"/>
        <v>0</v>
      </c>
      <c r="K68" s="35">
        <f t="shared" si="4"/>
        <v>6313500</v>
      </c>
      <c r="L68" s="35">
        <f t="shared" si="5"/>
        <v>1136430</v>
      </c>
      <c r="M68" s="35">
        <f t="shared" si="6"/>
        <v>631350</v>
      </c>
      <c r="N68" s="36">
        <f t="shared" si="7"/>
        <v>6818580</v>
      </c>
      <c r="O68" s="36">
        <f t="shared" si="8"/>
        <v>0</v>
      </c>
      <c r="P68" s="12"/>
      <c r="R68" s="23"/>
    </row>
    <row r="69" spans="1:18" ht="71.25" customHeight="1" x14ac:dyDescent="0.25">
      <c r="A69" s="43">
        <v>2</v>
      </c>
      <c r="B69" s="44" t="s">
        <v>89</v>
      </c>
      <c r="C69" s="128" t="s">
        <v>32</v>
      </c>
      <c r="D69" s="91">
        <v>100</v>
      </c>
      <c r="E69" s="109">
        <v>63140</v>
      </c>
      <c r="F69" s="35">
        <f t="shared" si="0"/>
        <v>6314000</v>
      </c>
      <c r="G69" s="35">
        <f t="shared" si="1"/>
        <v>1136520</v>
      </c>
      <c r="H69" s="36">
        <f t="shared" si="2"/>
        <v>7450520</v>
      </c>
      <c r="I69" s="12">
        <f>60.78+19.61</f>
        <v>80.39</v>
      </c>
      <c r="J69" s="12">
        <f t="shared" si="3"/>
        <v>19.61</v>
      </c>
      <c r="K69" s="35">
        <f t="shared" si="4"/>
        <v>5075824.5999999996</v>
      </c>
      <c r="L69" s="35">
        <f t="shared" si="5"/>
        <v>913648.42799999996</v>
      </c>
      <c r="M69" s="35">
        <f t="shared" si="6"/>
        <v>507582.45999999996</v>
      </c>
      <c r="N69" s="36">
        <f t="shared" si="7"/>
        <v>5481890.568</v>
      </c>
      <c r="O69" s="36">
        <f t="shared" si="8"/>
        <v>1238175.3999999999</v>
      </c>
      <c r="P69" s="12"/>
      <c r="R69" s="23"/>
    </row>
    <row r="70" spans="1:18" ht="71.25" customHeight="1" x14ac:dyDescent="0.25">
      <c r="A70" s="43">
        <v>3</v>
      </c>
      <c r="B70" s="44" t="s">
        <v>90</v>
      </c>
      <c r="C70" s="128" t="s">
        <v>32</v>
      </c>
      <c r="D70" s="91">
        <v>100</v>
      </c>
      <c r="E70" s="109">
        <v>63135</v>
      </c>
      <c r="F70" s="35">
        <f t="shared" si="0"/>
        <v>6313500</v>
      </c>
      <c r="G70" s="35">
        <f t="shared" si="1"/>
        <v>1136430</v>
      </c>
      <c r="H70" s="36">
        <f t="shared" si="2"/>
        <v>7449930</v>
      </c>
      <c r="I70" s="12">
        <f>39.29+60.71</f>
        <v>100</v>
      </c>
      <c r="J70" s="12">
        <f t="shared" si="3"/>
        <v>0</v>
      </c>
      <c r="K70" s="35">
        <f t="shared" si="4"/>
        <v>6313500</v>
      </c>
      <c r="L70" s="35">
        <f t="shared" si="5"/>
        <v>1136430</v>
      </c>
      <c r="M70" s="35">
        <f t="shared" si="6"/>
        <v>631350</v>
      </c>
      <c r="N70" s="36">
        <f t="shared" si="7"/>
        <v>6818580</v>
      </c>
      <c r="O70" s="36">
        <f t="shared" si="8"/>
        <v>0</v>
      </c>
      <c r="P70" s="12"/>
      <c r="R70" s="23"/>
    </row>
    <row r="71" spans="1:18" ht="71.25" customHeight="1" x14ac:dyDescent="0.25">
      <c r="A71" s="43">
        <v>4</v>
      </c>
      <c r="B71" s="44" t="s">
        <v>91</v>
      </c>
      <c r="C71" s="128" t="s">
        <v>32</v>
      </c>
      <c r="D71" s="91">
        <v>100</v>
      </c>
      <c r="E71" s="109">
        <v>37890</v>
      </c>
      <c r="F71" s="35">
        <f t="shared" si="0"/>
        <v>3789000</v>
      </c>
      <c r="G71" s="35">
        <f t="shared" si="1"/>
        <v>682020</v>
      </c>
      <c r="H71" s="36">
        <f t="shared" si="2"/>
        <v>4471020</v>
      </c>
      <c r="I71" s="12">
        <f>45+55</f>
        <v>100</v>
      </c>
      <c r="J71" s="12">
        <f t="shared" si="3"/>
        <v>0</v>
      </c>
      <c r="K71" s="35">
        <f t="shared" si="4"/>
        <v>3789000</v>
      </c>
      <c r="L71" s="35">
        <f t="shared" si="5"/>
        <v>682020</v>
      </c>
      <c r="M71" s="35">
        <f t="shared" si="6"/>
        <v>378900</v>
      </c>
      <c r="N71" s="36">
        <f t="shared" si="7"/>
        <v>4092120</v>
      </c>
      <c r="O71" s="36">
        <f t="shared" si="8"/>
        <v>0</v>
      </c>
      <c r="P71" s="12"/>
      <c r="R71" s="23"/>
    </row>
    <row r="72" spans="1:18" ht="71.25" customHeight="1" x14ac:dyDescent="0.25">
      <c r="A72" s="43">
        <v>5</v>
      </c>
      <c r="B72" s="44" t="s">
        <v>92</v>
      </c>
      <c r="C72" s="128" t="s">
        <v>32</v>
      </c>
      <c r="D72" s="91">
        <v>100</v>
      </c>
      <c r="E72" s="109">
        <v>47350</v>
      </c>
      <c r="F72" s="35">
        <f t="shared" si="0"/>
        <v>4735000</v>
      </c>
      <c r="G72" s="35">
        <f t="shared" si="1"/>
        <v>852300</v>
      </c>
      <c r="H72" s="36">
        <f t="shared" si="2"/>
        <v>5587300</v>
      </c>
      <c r="I72" s="12"/>
      <c r="J72" s="12">
        <f t="shared" si="3"/>
        <v>100</v>
      </c>
      <c r="K72" s="35">
        <f t="shared" si="4"/>
        <v>0</v>
      </c>
      <c r="L72" s="35">
        <f t="shared" si="5"/>
        <v>0</v>
      </c>
      <c r="M72" s="35">
        <f t="shared" si="6"/>
        <v>0</v>
      </c>
      <c r="N72" s="36">
        <f t="shared" si="7"/>
        <v>0</v>
      </c>
      <c r="O72" s="36">
        <f t="shared" si="8"/>
        <v>4735000</v>
      </c>
      <c r="P72" s="12"/>
      <c r="R72" s="23"/>
    </row>
    <row r="73" spans="1:18" ht="71.25" customHeight="1" x14ac:dyDescent="0.25">
      <c r="A73" s="43">
        <v>6</v>
      </c>
      <c r="B73" s="44" t="s">
        <v>93</v>
      </c>
      <c r="C73" s="128" t="s">
        <v>32</v>
      </c>
      <c r="D73" s="91">
        <v>100</v>
      </c>
      <c r="E73" s="109">
        <v>9480</v>
      </c>
      <c r="F73" s="35">
        <f t="shared" si="0"/>
        <v>948000</v>
      </c>
      <c r="G73" s="35">
        <f t="shared" si="1"/>
        <v>170640</v>
      </c>
      <c r="H73" s="36">
        <f t="shared" si="2"/>
        <v>1118640</v>
      </c>
      <c r="I73" s="12"/>
      <c r="J73" s="12">
        <f t="shared" si="3"/>
        <v>100</v>
      </c>
      <c r="K73" s="35">
        <f t="shared" si="4"/>
        <v>0</v>
      </c>
      <c r="L73" s="35">
        <f t="shared" si="5"/>
        <v>0</v>
      </c>
      <c r="M73" s="35">
        <f t="shared" si="6"/>
        <v>0</v>
      </c>
      <c r="N73" s="36">
        <f t="shared" si="7"/>
        <v>0</v>
      </c>
      <c r="O73" s="36">
        <f t="shared" si="8"/>
        <v>948000</v>
      </c>
      <c r="P73" s="12"/>
      <c r="R73" s="23"/>
    </row>
    <row r="74" spans="1:18" ht="71.25" customHeight="1" x14ac:dyDescent="0.25">
      <c r="A74" s="43">
        <v>7</v>
      </c>
      <c r="B74" s="44" t="s">
        <v>94</v>
      </c>
      <c r="C74" s="128" t="s">
        <v>32</v>
      </c>
      <c r="D74" s="91">
        <v>100</v>
      </c>
      <c r="E74" s="109">
        <v>15790</v>
      </c>
      <c r="F74" s="35">
        <f t="shared" si="0"/>
        <v>1579000</v>
      </c>
      <c r="G74" s="35">
        <f t="shared" si="1"/>
        <v>284220</v>
      </c>
      <c r="H74" s="36">
        <f t="shared" si="2"/>
        <v>1863220</v>
      </c>
      <c r="I74" s="12"/>
      <c r="J74" s="12">
        <f t="shared" si="3"/>
        <v>100</v>
      </c>
      <c r="K74" s="35">
        <f t="shared" si="4"/>
        <v>0</v>
      </c>
      <c r="L74" s="35">
        <f t="shared" si="5"/>
        <v>0</v>
      </c>
      <c r="M74" s="35">
        <f t="shared" si="6"/>
        <v>0</v>
      </c>
      <c r="N74" s="36">
        <f t="shared" si="7"/>
        <v>0</v>
      </c>
      <c r="O74" s="36">
        <f t="shared" si="8"/>
        <v>1579000</v>
      </c>
      <c r="P74" s="12"/>
      <c r="R74" s="23"/>
    </row>
    <row r="75" spans="1:18" ht="71.25" customHeight="1" x14ac:dyDescent="0.25">
      <c r="A75" s="43">
        <v>8</v>
      </c>
      <c r="B75" s="44" t="s">
        <v>95</v>
      </c>
      <c r="C75" s="128" t="s">
        <v>32</v>
      </c>
      <c r="D75" s="91">
        <v>100</v>
      </c>
      <c r="E75" s="109">
        <v>31570</v>
      </c>
      <c r="F75" s="35">
        <f t="shared" si="0"/>
        <v>3157000</v>
      </c>
      <c r="G75" s="35">
        <f t="shared" si="1"/>
        <v>568260</v>
      </c>
      <c r="H75" s="36">
        <f t="shared" si="2"/>
        <v>3725260</v>
      </c>
      <c r="I75" s="12">
        <v>100</v>
      </c>
      <c r="J75" s="12">
        <f t="shared" si="3"/>
        <v>0</v>
      </c>
      <c r="K75" s="35">
        <f t="shared" si="4"/>
        <v>3157000</v>
      </c>
      <c r="L75" s="35">
        <f t="shared" si="5"/>
        <v>568260</v>
      </c>
      <c r="M75" s="35">
        <f t="shared" si="6"/>
        <v>315700</v>
      </c>
      <c r="N75" s="36">
        <f t="shared" si="7"/>
        <v>3409560</v>
      </c>
      <c r="O75" s="36">
        <f t="shared" si="8"/>
        <v>0</v>
      </c>
      <c r="P75" s="12"/>
      <c r="R75" s="23"/>
    </row>
    <row r="76" spans="1:18" ht="71.25" customHeight="1" x14ac:dyDescent="0.25">
      <c r="A76" s="43">
        <v>9</v>
      </c>
      <c r="B76" s="44" t="s">
        <v>96</v>
      </c>
      <c r="C76" s="128" t="s">
        <v>32</v>
      </c>
      <c r="D76" s="91">
        <v>100</v>
      </c>
      <c r="E76" s="109">
        <v>15790</v>
      </c>
      <c r="F76" s="35">
        <f t="shared" si="0"/>
        <v>1579000</v>
      </c>
      <c r="G76" s="35">
        <f t="shared" si="1"/>
        <v>284220</v>
      </c>
      <c r="H76" s="36">
        <f t="shared" si="2"/>
        <v>1863220</v>
      </c>
      <c r="I76" s="12"/>
      <c r="J76" s="12">
        <f t="shared" si="3"/>
        <v>100</v>
      </c>
      <c r="K76" s="35">
        <f t="shared" si="4"/>
        <v>0</v>
      </c>
      <c r="L76" s="35">
        <f t="shared" si="5"/>
        <v>0</v>
      </c>
      <c r="M76" s="35">
        <f t="shared" si="6"/>
        <v>0</v>
      </c>
      <c r="N76" s="36">
        <f t="shared" si="7"/>
        <v>0</v>
      </c>
      <c r="O76" s="36">
        <f t="shared" si="8"/>
        <v>1579000</v>
      </c>
      <c r="P76" s="12"/>
      <c r="R76" s="23"/>
    </row>
    <row r="77" spans="1:18" ht="71.25" customHeight="1" x14ac:dyDescent="0.25">
      <c r="A77" s="43">
        <v>10</v>
      </c>
      <c r="B77" s="44" t="s">
        <v>97</v>
      </c>
      <c r="C77" s="128" t="s">
        <v>32</v>
      </c>
      <c r="D77" s="91">
        <v>100</v>
      </c>
      <c r="E77" s="109">
        <v>15790</v>
      </c>
      <c r="F77" s="35">
        <f t="shared" si="0"/>
        <v>1579000</v>
      </c>
      <c r="G77" s="35">
        <f t="shared" si="1"/>
        <v>284220</v>
      </c>
      <c r="H77" s="36">
        <f t="shared" si="2"/>
        <v>1863220</v>
      </c>
      <c r="I77" s="12"/>
      <c r="J77" s="12">
        <f t="shared" si="3"/>
        <v>100</v>
      </c>
      <c r="K77" s="35">
        <f t="shared" si="4"/>
        <v>0</v>
      </c>
      <c r="L77" s="35">
        <f t="shared" si="5"/>
        <v>0</v>
      </c>
      <c r="M77" s="35">
        <f t="shared" si="6"/>
        <v>0</v>
      </c>
      <c r="N77" s="36">
        <f t="shared" si="7"/>
        <v>0</v>
      </c>
      <c r="O77" s="36">
        <f t="shared" si="8"/>
        <v>1579000</v>
      </c>
      <c r="P77" s="12"/>
      <c r="R77" s="23"/>
    </row>
    <row r="78" spans="1:18" ht="71.25" customHeight="1" x14ac:dyDescent="0.25">
      <c r="A78" s="43">
        <v>11</v>
      </c>
      <c r="B78" s="44" t="s">
        <v>98</v>
      </c>
      <c r="C78" s="128" t="s">
        <v>32</v>
      </c>
      <c r="D78" s="91">
        <v>100</v>
      </c>
      <c r="E78" s="109">
        <v>31575</v>
      </c>
      <c r="F78" s="35">
        <f t="shared" si="0"/>
        <v>3157500</v>
      </c>
      <c r="G78" s="35">
        <f t="shared" si="1"/>
        <v>568350</v>
      </c>
      <c r="H78" s="36">
        <f t="shared" si="2"/>
        <v>3725850</v>
      </c>
      <c r="I78" s="12"/>
      <c r="J78" s="12">
        <f t="shared" si="3"/>
        <v>100</v>
      </c>
      <c r="K78" s="35">
        <f t="shared" si="4"/>
        <v>0</v>
      </c>
      <c r="L78" s="35">
        <f t="shared" si="5"/>
        <v>0</v>
      </c>
      <c r="M78" s="35">
        <f t="shared" si="6"/>
        <v>0</v>
      </c>
      <c r="N78" s="36">
        <f t="shared" si="7"/>
        <v>0</v>
      </c>
      <c r="O78" s="36">
        <f t="shared" si="8"/>
        <v>3157500</v>
      </c>
      <c r="P78" s="12"/>
      <c r="R78" s="23"/>
    </row>
    <row r="79" spans="1:18" ht="71.25" customHeight="1" x14ac:dyDescent="0.25">
      <c r="A79" s="43">
        <v>12</v>
      </c>
      <c r="B79" s="44" t="s">
        <v>99</v>
      </c>
      <c r="C79" s="128" t="s">
        <v>32</v>
      </c>
      <c r="D79" s="91">
        <v>100</v>
      </c>
      <c r="E79" s="109">
        <v>15790</v>
      </c>
      <c r="F79" s="35">
        <f t="shared" si="0"/>
        <v>1579000</v>
      </c>
      <c r="G79" s="35">
        <f t="shared" si="1"/>
        <v>284220</v>
      </c>
      <c r="H79" s="36">
        <f t="shared" si="2"/>
        <v>1863220</v>
      </c>
      <c r="I79" s="12"/>
      <c r="J79" s="12">
        <f t="shared" si="3"/>
        <v>100</v>
      </c>
      <c r="K79" s="35">
        <f t="shared" si="4"/>
        <v>0</v>
      </c>
      <c r="L79" s="35">
        <f t="shared" si="5"/>
        <v>0</v>
      </c>
      <c r="M79" s="35">
        <f t="shared" si="6"/>
        <v>0</v>
      </c>
      <c r="N79" s="36">
        <f t="shared" si="7"/>
        <v>0</v>
      </c>
      <c r="O79" s="36">
        <f t="shared" si="8"/>
        <v>1579000</v>
      </c>
      <c r="P79" s="12"/>
      <c r="R79" s="23"/>
    </row>
    <row r="80" spans="1:18" ht="71.25" customHeight="1" x14ac:dyDescent="0.25">
      <c r="A80" s="43">
        <v>13</v>
      </c>
      <c r="B80" s="44" t="s">
        <v>100</v>
      </c>
      <c r="C80" s="128" t="s">
        <v>32</v>
      </c>
      <c r="D80" s="91">
        <v>100</v>
      </c>
      <c r="E80" s="109">
        <v>31570</v>
      </c>
      <c r="F80" s="35">
        <f t="shared" ref="F80:F130" si="9">D80*E80</f>
        <v>3157000</v>
      </c>
      <c r="G80" s="35">
        <f t="shared" ref="G80:G134" si="10">F80*18%</f>
        <v>568260</v>
      </c>
      <c r="H80" s="36">
        <f t="shared" ref="H80:H134" si="11">F80+G80</f>
        <v>3725260</v>
      </c>
      <c r="I80" s="12"/>
      <c r="J80" s="12">
        <f t="shared" ref="J80:J134" si="12">D80-I80</f>
        <v>100</v>
      </c>
      <c r="K80" s="35">
        <f t="shared" ref="K80:K134" si="13">I80*E80</f>
        <v>0</v>
      </c>
      <c r="L80" s="35">
        <f t="shared" ref="L80:L134" si="14">K80*18%</f>
        <v>0</v>
      </c>
      <c r="M80" s="35">
        <f t="shared" ref="M80:M134" si="15">K80*10%</f>
        <v>0</v>
      </c>
      <c r="N80" s="36">
        <f t="shared" ref="N80:N134" si="16">SUM(K80:L80)-M80</f>
        <v>0</v>
      </c>
      <c r="O80" s="36">
        <f t="shared" ref="O80:O134" si="17">J80*E80</f>
        <v>3157000</v>
      </c>
      <c r="P80" s="12"/>
      <c r="R80" s="23"/>
    </row>
    <row r="81" spans="1:18" ht="71.25" customHeight="1" x14ac:dyDescent="0.25">
      <c r="A81" s="43">
        <v>14</v>
      </c>
      <c r="B81" s="44" t="s">
        <v>101</v>
      </c>
      <c r="C81" s="128" t="s">
        <v>32</v>
      </c>
      <c r="D81" s="91">
        <v>100</v>
      </c>
      <c r="E81" s="109">
        <v>15790</v>
      </c>
      <c r="F81" s="35">
        <f t="shared" si="9"/>
        <v>1579000</v>
      </c>
      <c r="G81" s="35">
        <f t="shared" si="10"/>
        <v>284220</v>
      </c>
      <c r="H81" s="36">
        <f t="shared" si="11"/>
        <v>1863220</v>
      </c>
      <c r="I81" s="12"/>
      <c r="J81" s="12">
        <f t="shared" si="12"/>
        <v>100</v>
      </c>
      <c r="K81" s="35">
        <f t="shared" si="13"/>
        <v>0</v>
      </c>
      <c r="L81" s="35">
        <f t="shared" si="14"/>
        <v>0</v>
      </c>
      <c r="M81" s="35">
        <f t="shared" si="15"/>
        <v>0</v>
      </c>
      <c r="N81" s="36">
        <f t="shared" si="16"/>
        <v>0</v>
      </c>
      <c r="O81" s="36">
        <f t="shared" si="17"/>
        <v>1579000</v>
      </c>
      <c r="P81" s="12"/>
      <c r="R81" s="23"/>
    </row>
    <row r="82" spans="1:18" ht="71.25" customHeight="1" x14ac:dyDescent="0.25">
      <c r="A82" s="43">
        <v>15</v>
      </c>
      <c r="B82" s="44" t="s">
        <v>102</v>
      </c>
      <c r="C82" s="128" t="s">
        <v>32</v>
      </c>
      <c r="D82" s="91">
        <v>100</v>
      </c>
      <c r="E82" s="109">
        <v>31570</v>
      </c>
      <c r="F82" s="35">
        <f t="shared" si="9"/>
        <v>3157000</v>
      </c>
      <c r="G82" s="35">
        <f t="shared" si="10"/>
        <v>568260</v>
      </c>
      <c r="H82" s="36">
        <f t="shared" si="11"/>
        <v>3725260</v>
      </c>
      <c r="I82" s="12"/>
      <c r="J82" s="12">
        <f t="shared" si="12"/>
        <v>100</v>
      </c>
      <c r="K82" s="35">
        <f t="shared" si="13"/>
        <v>0</v>
      </c>
      <c r="L82" s="35">
        <f t="shared" si="14"/>
        <v>0</v>
      </c>
      <c r="M82" s="35">
        <f t="shared" si="15"/>
        <v>0</v>
      </c>
      <c r="N82" s="36">
        <f t="shared" si="16"/>
        <v>0</v>
      </c>
      <c r="O82" s="36">
        <f t="shared" si="17"/>
        <v>3157000</v>
      </c>
      <c r="P82" s="12"/>
      <c r="R82" s="23"/>
    </row>
    <row r="83" spans="1:18" ht="71.25" customHeight="1" x14ac:dyDescent="0.25">
      <c r="A83" s="43">
        <v>16</v>
      </c>
      <c r="B83" s="44" t="s">
        <v>103</v>
      </c>
      <c r="C83" s="128" t="s">
        <v>32</v>
      </c>
      <c r="D83" s="91">
        <v>100</v>
      </c>
      <c r="E83" s="109">
        <v>15790</v>
      </c>
      <c r="F83" s="35">
        <f t="shared" si="9"/>
        <v>1579000</v>
      </c>
      <c r="G83" s="35">
        <f t="shared" si="10"/>
        <v>284220</v>
      </c>
      <c r="H83" s="36">
        <f t="shared" si="11"/>
        <v>1863220</v>
      </c>
      <c r="I83" s="12"/>
      <c r="J83" s="12">
        <f t="shared" si="12"/>
        <v>100</v>
      </c>
      <c r="K83" s="35">
        <f t="shared" si="13"/>
        <v>0</v>
      </c>
      <c r="L83" s="35">
        <f t="shared" si="14"/>
        <v>0</v>
      </c>
      <c r="M83" s="35">
        <f t="shared" si="15"/>
        <v>0</v>
      </c>
      <c r="N83" s="36">
        <f t="shared" si="16"/>
        <v>0</v>
      </c>
      <c r="O83" s="36">
        <f t="shared" si="17"/>
        <v>1579000</v>
      </c>
      <c r="P83" s="12"/>
      <c r="R83" s="23"/>
    </row>
    <row r="84" spans="1:18" ht="71.25" customHeight="1" x14ac:dyDescent="0.25">
      <c r="A84" s="43">
        <v>17</v>
      </c>
      <c r="B84" s="44" t="s">
        <v>104</v>
      </c>
      <c r="C84" s="128" t="s">
        <v>32</v>
      </c>
      <c r="D84" s="91">
        <v>100</v>
      </c>
      <c r="E84" s="109">
        <v>31570</v>
      </c>
      <c r="F84" s="35">
        <f t="shared" si="9"/>
        <v>3157000</v>
      </c>
      <c r="G84" s="35">
        <f t="shared" si="10"/>
        <v>568260</v>
      </c>
      <c r="H84" s="36">
        <f t="shared" si="11"/>
        <v>3725260</v>
      </c>
      <c r="I84" s="12"/>
      <c r="J84" s="12">
        <f t="shared" si="12"/>
        <v>100</v>
      </c>
      <c r="K84" s="35">
        <f t="shared" si="13"/>
        <v>0</v>
      </c>
      <c r="L84" s="35">
        <f t="shared" si="14"/>
        <v>0</v>
      </c>
      <c r="M84" s="35">
        <f t="shared" si="15"/>
        <v>0</v>
      </c>
      <c r="N84" s="36">
        <f t="shared" si="16"/>
        <v>0</v>
      </c>
      <c r="O84" s="36">
        <f t="shared" si="17"/>
        <v>3157000</v>
      </c>
      <c r="P84" s="12"/>
      <c r="R84" s="23"/>
    </row>
    <row r="85" spans="1:18" ht="71.25" customHeight="1" x14ac:dyDescent="0.25">
      <c r="A85" s="43">
        <v>18</v>
      </c>
      <c r="B85" s="44" t="s">
        <v>105</v>
      </c>
      <c r="C85" s="128" t="s">
        <v>32</v>
      </c>
      <c r="D85" s="91">
        <v>100</v>
      </c>
      <c r="E85" s="109">
        <v>15785</v>
      </c>
      <c r="F85" s="35">
        <f t="shared" si="9"/>
        <v>1578500</v>
      </c>
      <c r="G85" s="35">
        <f t="shared" si="10"/>
        <v>284130</v>
      </c>
      <c r="H85" s="36">
        <f t="shared" si="11"/>
        <v>1862630</v>
      </c>
      <c r="I85" s="12"/>
      <c r="J85" s="12">
        <f t="shared" si="12"/>
        <v>100</v>
      </c>
      <c r="K85" s="35">
        <f t="shared" si="13"/>
        <v>0</v>
      </c>
      <c r="L85" s="35">
        <f t="shared" si="14"/>
        <v>0</v>
      </c>
      <c r="M85" s="35">
        <f t="shared" si="15"/>
        <v>0</v>
      </c>
      <c r="N85" s="36">
        <f t="shared" si="16"/>
        <v>0</v>
      </c>
      <c r="O85" s="36">
        <f t="shared" si="17"/>
        <v>1578500</v>
      </c>
      <c r="P85" s="12"/>
      <c r="R85" s="23"/>
    </row>
    <row r="86" spans="1:18" ht="71.25" customHeight="1" x14ac:dyDescent="0.25">
      <c r="A86" s="43">
        <v>19</v>
      </c>
      <c r="B86" s="44" t="s">
        <v>106</v>
      </c>
      <c r="C86" s="128" t="s">
        <v>32</v>
      </c>
      <c r="D86" s="91">
        <v>100</v>
      </c>
      <c r="E86" s="109">
        <v>15785</v>
      </c>
      <c r="F86" s="35">
        <f t="shared" si="9"/>
        <v>1578500</v>
      </c>
      <c r="G86" s="35">
        <f t="shared" si="10"/>
        <v>284130</v>
      </c>
      <c r="H86" s="36">
        <f t="shared" si="11"/>
        <v>1862630</v>
      </c>
      <c r="I86" s="12"/>
      <c r="J86" s="12">
        <f t="shared" si="12"/>
        <v>100</v>
      </c>
      <c r="K86" s="35">
        <f t="shared" si="13"/>
        <v>0</v>
      </c>
      <c r="L86" s="35">
        <f t="shared" si="14"/>
        <v>0</v>
      </c>
      <c r="M86" s="35">
        <f t="shared" si="15"/>
        <v>0</v>
      </c>
      <c r="N86" s="36">
        <f t="shared" si="16"/>
        <v>0</v>
      </c>
      <c r="O86" s="36">
        <f t="shared" si="17"/>
        <v>1578500</v>
      </c>
      <c r="P86" s="12"/>
      <c r="R86" s="23"/>
    </row>
    <row r="87" spans="1:18" ht="71.25" customHeight="1" x14ac:dyDescent="0.25">
      <c r="A87" s="43">
        <v>20</v>
      </c>
      <c r="B87" s="44" t="s">
        <v>107</v>
      </c>
      <c r="C87" s="128" t="s">
        <v>32</v>
      </c>
      <c r="D87" s="91">
        <v>100</v>
      </c>
      <c r="E87" s="109">
        <v>15785</v>
      </c>
      <c r="F87" s="35">
        <f t="shared" si="9"/>
        <v>1578500</v>
      </c>
      <c r="G87" s="35">
        <f t="shared" si="10"/>
        <v>284130</v>
      </c>
      <c r="H87" s="36">
        <f t="shared" si="11"/>
        <v>1862630</v>
      </c>
      <c r="I87" s="12"/>
      <c r="J87" s="12">
        <f t="shared" si="12"/>
        <v>100</v>
      </c>
      <c r="K87" s="35">
        <f t="shared" si="13"/>
        <v>0</v>
      </c>
      <c r="L87" s="35">
        <f t="shared" si="14"/>
        <v>0</v>
      </c>
      <c r="M87" s="35">
        <f t="shared" si="15"/>
        <v>0</v>
      </c>
      <c r="N87" s="36">
        <f t="shared" si="16"/>
        <v>0</v>
      </c>
      <c r="O87" s="36">
        <f t="shared" si="17"/>
        <v>1578500</v>
      </c>
      <c r="P87" s="12"/>
      <c r="R87" s="23"/>
    </row>
    <row r="88" spans="1:18" ht="71.25" customHeight="1" x14ac:dyDescent="0.25">
      <c r="A88" s="43">
        <v>21</v>
      </c>
      <c r="B88" s="44" t="s">
        <v>108</v>
      </c>
      <c r="C88" s="128" t="s">
        <v>32</v>
      </c>
      <c r="D88" s="91">
        <v>100</v>
      </c>
      <c r="E88" s="109">
        <v>3160</v>
      </c>
      <c r="F88" s="35">
        <f t="shared" si="9"/>
        <v>316000</v>
      </c>
      <c r="G88" s="35">
        <f t="shared" si="10"/>
        <v>56880</v>
      </c>
      <c r="H88" s="36">
        <f t="shared" si="11"/>
        <v>372880</v>
      </c>
      <c r="I88" s="12"/>
      <c r="J88" s="12">
        <f t="shared" si="12"/>
        <v>100</v>
      </c>
      <c r="K88" s="35">
        <f t="shared" si="13"/>
        <v>0</v>
      </c>
      <c r="L88" s="35">
        <f t="shared" si="14"/>
        <v>0</v>
      </c>
      <c r="M88" s="35">
        <f t="shared" si="15"/>
        <v>0</v>
      </c>
      <c r="N88" s="36">
        <f t="shared" si="16"/>
        <v>0</v>
      </c>
      <c r="O88" s="36">
        <f t="shared" si="17"/>
        <v>316000</v>
      </c>
      <c r="P88" s="12"/>
      <c r="R88" s="23"/>
    </row>
    <row r="89" spans="1:18" ht="71.25" customHeight="1" x14ac:dyDescent="0.25">
      <c r="A89" s="43">
        <v>21</v>
      </c>
      <c r="B89" s="44" t="s">
        <v>109</v>
      </c>
      <c r="C89" s="128" t="s">
        <v>32</v>
      </c>
      <c r="D89" s="91">
        <v>100</v>
      </c>
      <c r="E89" s="109">
        <v>6320</v>
      </c>
      <c r="F89" s="35">
        <f t="shared" si="9"/>
        <v>632000</v>
      </c>
      <c r="G89" s="35">
        <f t="shared" si="10"/>
        <v>113760</v>
      </c>
      <c r="H89" s="36">
        <f t="shared" si="11"/>
        <v>745760</v>
      </c>
      <c r="I89" s="12"/>
      <c r="J89" s="12">
        <f t="shared" si="12"/>
        <v>100</v>
      </c>
      <c r="K89" s="35">
        <f t="shared" si="13"/>
        <v>0</v>
      </c>
      <c r="L89" s="35">
        <f t="shared" si="14"/>
        <v>0</v>
      </c>
      <c r="M89" s="35">
        <f t="shared" si="15"/>
        <v>0</v>
      </c>
      <c r="N89" s="36">
        <f t="shared" si="16"/>
        <v>0</v>
      </c>
      <c r="O89" s="36">
        <f t="shared" si="17"/>
        <v>632000</v>
      </c>
      <c r="P89" s="12"/>
      <c r="R89" s="23"/>
    </row>
    <row r="90" spans="1:18" ht="71.25" customHeight="1" x14ac:dyDescent="0.25">
      <c r="A90" s="37" t="s">
        <v>110</v>
      </c>
      <c r="B90" s="38" t="s">
        <v>111</v>
      </c>
      <c r="C90" s="39"/>
      <c r="D90" s="40"/>
      <c r="E90" s="109"/>
      <c r="F90" s="35"/>
      <c r="G90" s="35"/>
      <c r="H90" s="36"/>
      <c r="I90" s="12"/>
      <c r="J90" s="12"/>
      <c r="K90" s="35"/>
      <c r="L90" s="35"/>
      <c r="M90" s="35"/>
      <c r="N90" s="36"/>
      <c r="O90" s="36"/>
      <c r="P90" s="12"/>
      <c r="R90" s="23"/>
    </row>
    <row r="91" spans="1:18" ht="71.25" customHeight="1" x14ac:dyDescent="0.25">
      <c r="A91" s="43">
        <v>1</v>
      </c>
      <c r="B91" s="44" t="s">
        <v>112</v>
      </c>
      <c r="C91" s="128" t="s">
        <v>32</v>
      </c>
      <c r="D91" s="91">
        <v>100</v>
      </c>
      <c r="E91" s="109">
        <v>157850</v>
      </c>
      <c r="F91" s="35">
        <f t="shared" si="9"/>
        <v>15785000</v>
      </c>
      <c r="G91" s="35">
        <f t="shared" si="10"/>
        <v>2841300</v>
      </c>
      <c r="H91" s="36">
        <f t="shared" si="11"/>
        <v>18626300</v>
      </c>
      <c r="I91" s="12">
        <f>25</f>
        <v>25</v>
      </c>
      <c r="J91" s="12">
        <f t="shared" si="12"/>
        <v>75</v>
      </c>
      <c r="K91" s="35">
        <f t="shared" si="13"/>
        <v>3946250</v>
      </c>
      <c r="L91" s="35">
        <f t="shared" si="14"/>
        <v>710325</v>
      </c>
      <c r="M91" s="35">
        <f t="shared" si="15"/>
        <v>394625</v>
      </c>
      <c r="N91" s="36">
        <f t="shared" si="16"/>
        <v>4261950</v>
      </c>
      <c r="O91" s="36">
        <f t="shared" si="17"/>
        <v>11838750</v>
      </c>
      <c r="P91" s="12"/>
      <c r="R91" s="23"/>
    </row>
    <row r="92" spans="1:18" ht="71.25" customHeight="1" x14ac:dyDescent="0.25">
      <c r="A92" s="43">
        <v>2</v>
      </c>
      <c r="B92" s="44" t="s">
        <v>113</v>
      </c>
      <c r="C92" s="128" t="s">
        <v>32</v>
      </c>
      <c r="D92" s="91">
        <v>100</v>
      </c>
      <c r="E92" s="109">
        <v>126280</v>
      </c>
      <c r="F92" s="35">
        <f t="shared" si="9"/>
        <v>12628000</v>
      </c>
      <c r="G92" s="35">
        <f t="shared" si="10"/>
        <v>2273040</v>
      </c>
      <c r="H92" s="36">
        <f t="shared" si="11"/>
        <v>14901040</v>
      </c>
      <c r="I92" s="12"/>
      <c r="J92" s="12">
        <f t="shared" si="12"/>
        <v>100</v>
      </c>
      <c r="K92" s="35">
        <f t="shared" si="13"/>
        <v>0</v>
      </c>
      <c r="L92" s="35">
        <f t="shared" si="14"/>
        <v>0</v>
      </c>
      <c r="M92" s="35">
        <f t="shared" si="15"/>
        <v>0</v>
      </c>
      <c r="N92" s="36">
        <f t="shared" si="16"/>
        <v>0</v>
      </c>
      <c r="O92" s="36">
        <f t="shared" si="17"/>
        <v>12628000</v>
      </c>
      <c r="P92" s="12"/>
      <c r="R92" s="23"/>
    </row>
    <row r="93" spans="1:18" ht="71.25" customHeight="1" x14ac:dyDescent="0.25">
      <c r="A93" s="43">
        <v>3</v>
      </c>
      <c r="B93" s="44" t="s">
        <v>114</v>
      </c>
      <c r="C93" s="128" t="s">
        <v>32</v>
      </c>
      <c r="D93" s="91">
        <v>100</v>
      </c>
      <c r="E93" s="109">
        <v>6320</v>
      </c>
      <c r="F93" s="35">
        <f t="shared" si="9"/>
        <v>632000</v>
      </c>
      <c r="G93" s="35">
        <f t="shared" si="10"/>
        <v>113760</v>
      </c>
      <c r="H93" s="36">
        <f t="shared" si="11"/>
        <v>745760</v>
      </c>
      <c r="I93" s="12"/>
      <c r="J93" s="12">
        <f t="shared" si="12"/>
        <v>100</v>
      </c>
      <c r="K93" s="35">
        <f t="shared" si="13"/>
        <v>0</v>
      </c>
      <c r="L93" s="35">
        <f t="shared" si="14"/>
        <v>0</v>
      </c>
      <c r="M93" s="35">
        <f t="shared" si="15"/>
        <v>0</v>
      </c>
      <c r="N93" s="36">
        <f t="shared" si="16"/>
        <v>0</v>
      </c>
      <c r="O93" s="36">
        <f t="shared" si="17"/>
        <v>632000</v>
      </c>
      <c r="P93" s="12"/>
      <c r="R93" s="23"/>
    </row>
    <row r="94" spans="1:18" ht="71.25" customHeight="1" x14ac:dyDescent="0.25">
      <c r="A94" s="43">
        <v>4</v>
      </c>
      <c r="B94" s="44" t="s">
        <v>115</v>
      </c>
      <c r="C94" s="128" t="s">
        <v>32</v>
      </c>
      <c r="D94" s="91">
        <v>100</v>
      </c>
      <c r="E94" s="109">
        <v>63150</v>
      </c>
      <c r="F94" s="35">
        <f t="shared" si="9"/>
        <v>6315000</v>
      </c>
      <c r="G94" s="35">
        <f t="shared" si="10"/>
        <v>1136700</v>
      </c>
      <c r="H94" s="36">
        <f t="shared" si="11"/>
        <v>7451700</v>
      </c>
      <c r="I94" s="12"/>
      <c r="J94" s="12">
        <f t="shared" si="12"/>
        <v>100</v>
      </c>
      <c r="K94" s="35">
        <f t="shared" si="13"/>
        <v>0</v>
      </c>
      <c r="L94" s="35">
        <f t="shared" si="14"/>
        <v>0</v>
      </c>
      <c r="M94" s="35">
        <f t="shared" si="15"/>
        <v>0</v>
      </c>
      <c r="N94" s="36">
        <f t="shared" si="16"/>
        <v>0</v>
      </c>
      <c r="O94" s="36">
        <f t="shared" si="17"/>
        <v>6315000</v>
      </c>
      <c r="P94" s="12"/>
      <c r="R94" s="23"/>
    </row>
    <row r="95" spans="1:18" ht="71.25" customHeight="1" x14ac:dyDescent="0.25">
      <c r="A95" s="43">
        <v>5</v>
      </c>
      <c r="B95" s="44" t="s">
        <v>116</v>
      </c>
      <c r="C95" s="128" t="s">
        <v>32</v>
      </c>
      <c r="D95" s="91">
        <v>100</v>
      </c>
      <c r="E95" s="109">
        <v>63150</v>
      </c>
      <c r="F95" s="35">
        <f t="shared" si="9"/>
        <v>6315000</v>
      </c>
      <c r="G95" s="35">
        <f t="shared" si="10"/>
        <v>1136700</v>
      </c>
      <c r="H95" s="36">
        <f t="shared" si="11"/>
        <v>7451700</v>
      </c>
      <c r="I95" s="12">
        <f>22.22+27.78</f>
        <v>50</v>
      </c>
      <c r="J95" s="12">
        <f t="shared" si="12"/>
        <v>50</v>
      </c>
      <c r="K95" s="35">
        <f t="shared" si="13"/>
        <v>3157500</v>
      </c>
      <c r="L95" s="35">
        <f t="shared" si="14"/>
        <v>568350</v>
      </c>
      <c r="M95" s="35">
        <f t="shared" si="15"/>
        <v>315750</v>
      </c>
      <c r="N95" s="36">
        <f t="shared" si="16"/>
        <v>3410100</v>
      </c>
      <c r="O95" s="36">
        <f t="shared" si="17"/>
        <v>3157500</v>
      </c>
      <c r="P95" s="12"/>
      <c r="R95" s="23"/>
    </row>
    <row r="96" spans="1:18" ht="71.25" customHeight="1" x14ac:dyDescent="0.25">
      <c r="A96" s="43">
        <v>6</v>
      </c>
      <c r="B96" s="44" t="s">
        <v>117</v>
      </c>
      <c r="C96" s="128" t="s">
        <v>32</v>
      </c>
      <c r="D96" s="91">
        <v>100</v>
      </c>
      <c r="E96" s="109">
        <v>63150</v>
      </c>
      <c r="F96" s="35">
        <f t="shared" si="9"/>
        <v>6315000</v>
      </c>
      <c r="G96" s="35">
        <f t="shared" si="10"/>
        <v>1136700</v>
      </c>
      <c r="H96" s="36">
        <f t="shared" si="11"/>
        <v>7451700</v>
      </c>
      <c r="I96" s="12">
        <f>8.82+30.89+26.46</f>
        <v>66.17</v>
      </c>
      <c r="J96" s="12">
        <f t="shared" si="12"/>
        <v>33.83</v>
      </c>
      <c r="K96" s="35">
        <f t="shared" si="13"/>
        <v>4178635.5</v>
      </c>
      <c r="L96" s="35">
        <f t="shared" si="14"/>
        <v>752154.39</v>
      </c>
      <c r="M96" s="35">
        <f t="shared" si="15"/>
        <v>417863.55000000005</v>
      </c>
      <c r="N96" s="36">
        <f t="shared" si="16"/>
        <v>4512926.34</v>
      </c>
      <c r="O96" s="36">
        <f t="shared" si="17"/>
        <v>2136364.5</v>
      </c>
      <c r="P96" s="12"/>
      <c r="R96" s="23"/>
    </row>
    <row r="97" spans="1:18" ht="71.25" customHeight="1" x14ac:dyDescent="0.25">
      <c r="A97" s="43">
        <v>7</v>
      </c>
      <c r="B97" s="44" t="s">
        <v>118</v>
      </c>
      <c r="C97" s="128" t="s">
        <v>32</v>
      </c>
      <c r="D97" s="91">
        <v>100</v>
      </c>
      <c r="E97" s="109">
        <v>15790</v>
      </c>
      <c r="F97" s="35">
        <f t="shared" si="9"/>
        <v>1579000</v>
      </c>
      <c r="G97" s="35">
        <f t="shared" si="10"/>
        <v>284220</v>
      </c>
      <c r="H97" s="36">
        <f t="shared" si="11"/>
        <v>1863220</v>
      </c>
      <c r="I97" s="12"/>
      <c r="J97" s="12">
        <f t="shared" si="12"/>
        <v>100</v>
      </c>
      <c r="K97" s="35">
        <f t="shared" si="13"/>
        <v>0</v>
      </c>
      <c r="L97" s="35">
        <f t="shared" si="14"/>
        <v>0</v>
      </c>
      <c r="M97" s="35">
        <f t="shared" si="15"/>
        <v>0</v>
      </c>
      <c r="N97" s="36">
        <f t="shared" si="16"/>
        <v>0</v>
      </c>
      <c r="O97" s="36">
        <f t="shared" si="17"/>
        <v>1579000</v>
      </c>
      <c r="P97" s="12"/>
      <c r="R97" s="23"/>
    </row>
    <row r="98" spans="1:18" ht="71.25" customHeight="1" x14ac:dyDescent="0.25">
      <c r="A98" s="43">
        <v>8</v>
      </c>
      <c r="B98" s="44" t="s">
        <v>119</v>
      </c>
      <c r="C98" s="128" t="s">
        <v>32</v>
      </c>
      <c r="D98" s="91">
        <v>100</v>
      </c>
      <c r="E98" s="109">
        <v>15790</v>
      </c>
      <c r="F98" s="35">
        <f t="shared" si="9"/>
        <v>1579000</v>
      </c>
      <c r="G98" s="35">
        <f t="shared" si="10"/>
        <v>284220</v>
      </c>
      <c r="H98" s="36">
        <f t="shared" si="11"/>
        <v>1863220</v>
      </c>
      <c r="I98" s="12">
        <f>44.48</f>
        <v>44.48</v>
      </c>
      <c r="J98" s="12">
        <f t="shared" si="12"/>
        <v>55.52</v>
      </c>
      <c r="K98" s="35">
        <f t="shared" si="13"/>
        <v>702339.2</v>
      </c>
      <c r="L98" s="35">
        <f t="shared" si="14"/>
        <v>126421.05599999998</v>
      </c>
      <c r="M98" s="35">
        <f t="shared" si="15"/>
        <v>70233.919999999998</v>
      </c>
      <c r="N98" s="36">
        <f t="shared" si="16"/>
        <v>758526.33599999989</v>
      </c>
      <c r="O98" s="36">
        <f t="shared" si="17"/>
        <v>876660.8</v>
      </c>
      <c r="P98" s="12"/>
      <c r="R98" s="23"/>
    </row>
    <row r="99" spans="1:18" ht="71.25" customHeight="1" x14ac:dyDescent="0.25">
      <c r="A99" s="43">
        <v>9</v>
      </c>
      <c r="B99" s="44" t="s">
        <v>120</v>
      </c>
      <c r="C99" s="128" t="s">
        <v>32</v>
      </c>
      <c r="D99" s="91">
        <v>100</v>
      </c>
      <c r="E99" s="109">
        <v>15790</v>
      </c>
      <c r="F99" s="35">
        <f t="shared" si="9"/>
        <v>1579000</v>
      </c>
      <c r="G99" s="35">
        <f t="shared" si="10"/>
        <v>284220</v>
      </c>
      <c r="H99" s="36">
        <f t="shared" si="11"/>
        <v>1863220</v>
      </c>
      <c r="I99" s="12">
        <f>47.06</f>
        <v>47.06</v>
      </c>
      <c r="J99" s="12">
        <f t="shared" si="12"/>
        <v>52.94</v>
      </c>
      <c r="K99" s="35">
        <f t="shared" si="13"/>
        <v>743077.4</v>
      </c>
      <c r="L99" s="35">
        <f t="shared" si="14"/>
        <v>133753.932</v>
      </c>
      <c r="M99" s="35">
        <f t="shared" si="15"/>
        <v>74307.740000000005</v>
      </c>
      <c r="N99" s="36">
        <f t="shared" si="16"/>
        <v>802523.59200000006</v>
      </c>
      <c r="O99" s="36">
        <f t="shared" si="17"/>
        <v>835922.6</v>
      </c>
      <c r="P99" s="12"/>
      <c r="R99" s="23"/>
    </row>
    <row r="100" spans="1:18" ht="71.25" customHeight="1" x14ac:dyDescent="0.25">
      <c r="A100" s="43">
        <v>10</v>
      </c>
      <c r="B100" s="44" t="s">
        <v>121</v>
      </c>
      <c r="C100" s="128" t="s">
        <v>32</v>
      </c>
      <c r="D100" s="91">
        <v>100</v>
      </c>
      <c r="E100" s="109">
        <v>31570</v>
      </c>
      <c r="F100" s="35">
        <f t="shared" si="9"/>
        <v>3157000</v>
      </c>
      <c r="G100" s="35">
        <f t="shared" si="10"/>
        <v>568260</v>
      </c>
      <c r="H100" s="36">
        <f t="shared" si="11"/>
        <v>3725260</v>
      </c>
      <c r="I100" s="12"/>
      <c r="J100" s="12">
        <f t="shared" si="12"/>
        <v>100</v>
      </c>
      <c r="K100" s="35">
        <f t="shared" si="13"/>
        <v>0</v>
      </c>
      <c r="L100" s="35">
        <f t="shared" si="14"/>
        <v>0</v>
      </c>
      <c r="M100" s="35">
        <f t="shared" si="15"/>
        <v>0</v>
      </c>
      <c r="N100" s="36">
        <f t="shared" si="16"/>
        <v>0</v>
      </c>
      <c r="O100" s="36">
        <f t="shared" si="17"/>
        <v>3157000</v>
      </c>
      <c r="P100" s="12"/>
      <c r="R100" s="23"/>
    </row>
    <row r="101" spans="1:18" ht="71.25" customHeight="1" x14ac:dyDescent="0.25">
      <c r="A101" s="43">
        <v>11</v>
      </c>
      <c r="B101" s="44" t="s">
        <v>122</v>
      </c>
      <c r="C101" s="128" t="s">
        <v>32</v>
      </c>
      <c r="D101" s="91">
        <v>100</v>
      </c>
      <c r="E101" s="109">
        <v>31570</v>
      </c>
      <c r="F101" s="35">
        <f t="shared" si="9"/>
        <v>3157000</v>
      </c>
      <c r="G101" s="35">
        <f t="shared" si="10"/>
        <v>568260</v>
      </c>
      <c r="H101" s="36">
        <f t="shared" si="11"/>
        <v>3725260</v>
      </c>
      <c r="I101" s="12"/>
      <c r="J101" s="12">
        <f t="shared" si="12"/>
        <v>100</v>
      </c>
      <c r="K101" s="35">
        <f t="shared" si="13"/>
        <v>0</v>
      </c>
      <c r="L101" s="35">
        <f t="shared" si="14"/>
        <v>0</v>
      </c>
      <c r="M101" s="35">
        <f t="shared" si="15"/>
        <v>0</v>
      </c>
      <c r="N101" s="36">
        <f t="shared" si="16"/>
        <v>0</v>
      </c>
      <c r="O101" s="36">
        <f t="shared" si="17"/>
        <v>3157000</v>
      </c>
      <c r="P101" s="12"/>
      <c r="R101" s="23"/>
    </row>
    <row r="102" spans="1:18" ht="71.25" customHeight="1" x14ac:dyDescent="0.25">
      <c r="A102" s="43">
        <v>12</v>
      </c>
      <c r="B102" s="44" t="s">
        <v>123</v>
      </c>
      <c r="C102" s="128" t="s">
        <v>32</v>
      </c>
      <c r="D102" s="91">
        <v>100</v>
      </c>
      <c r="E102" s="109">
        <v>31570</v>
      </c>
      <c r="F102" s="35">
        <f t="shared" si="9"/>
        <v>3157000</v>
      </c>
      <c r="G102" s="35">
        <f t="shared" si="10"/>
        <v>568260</v>
      </c>
      <c r="H102" s="36">
        <f t="shared" si="11"/>
        <v>3725260</v>
      </c>
      <c r="I102" s="12"/>
      <c r="J102" s="12">
        <f t="shared" si="12"/>
        <v>100</v>
      </c>
      <c r="K102" s="35">
        <f t="shared" si="13"/>
        <v>0</v>
      </c>
      <c r="L102" s="35">
        <f t="shared" si="14"/>
        <v>0</v>
      </c>
      <c r="M102" s="35">
        <f t="shared" si="15"/>
        <v>0</v>
      </c>
      <c r="N102" s="36">
        <f t="shared" si="16"/>
        <v>0</v>
      </c>
      <c r="O102" s="36">
        <f t="shared" si="17"/>
        <v>3157000</v>
      </c>
      <c r="P102" s="12"/>
      <c r="R102" s="23"/>
    </row>
    <row r="103" spans="1:18" ht="71.25" customHeight="1" x14ac:dyDescent="0.25">
      <c r="A103" s="43">
        <v>13</v>
      </c>
      <c r="B103" s="44" t="s">
        <v>124</v>
      </c>
      <c r="C103" s="128" t="s">
        <v>32</v>
      </c>
      <c r="D103" s="91">
        <v>100</v>
      </c>
      <c r="E103" s="109">
        <v>12630</v>
      </c>
      <c r="F103" s="35">
        <f t="shared" si="9"/>
        <v>1263000</v>
      </c>
      <c r="G103" s="35">
        <f t="shared" si="10"/>
        <v>227340</v>
      </c>
      <c r="H103" s="36">
        <f t="shared" si="11"/>
        <v>1490340</v>
      </c>
      <c r="I103" s="12"/>
      <c r="J103" s="12">
        <f t="shared" si="12"/>
        <v>100</v>
      </c>
      <c r="K103" s="35">
        <f t="shared" si="13"/>
        <v>0</v>
      </c>
      <c r="L103" s="35">
        <f t="shared" si="14"/>
        <v>0</v>
      </c>
      <c r="M103" s="35">
        <f t="shared" si="15"/>
        <v>0</v>
      </c>
      <c r="N103" s="36">
        <f t="shared" si="16"/>
        <v>0</v>
      </c>
      <c r="O103" s="36">
        <f t="shared" si="17"/>
        <v>1263000</v>
      </c>
      <c r="P103" s="12"/>
      <c r="R103" s="23"/>
    </row>
    <row r="104" spans="1:18" ht="71.25" customHeight="1" x14ac:dyDescent="0.25">
      <c r="A104" s="43">
        <v>14</v>
      </c>
      <c r="B104" s="44" t="s">
        <v>125</v>
      </c>
      <c r="C104" s="128" t="s">
        <v>32</v>
      </c>
      <c r="D104" s="91">
        <v>100</v>
      </c>
      <c r="E104" s="109">
        <v>18940</v>
      </c>
      <c r="F104" s="35">
        <f t="shared" si="9"/>
        <v>1894000</v>
      </c>
      <c r="G104" s="35">
        <f t="shared" si="10"/>
        <v>340920</v>
      </c>
      <c r="H104" s="36">
        <f t="shared" si="11"/>
        <v>2234920</v>
      </c>
      <c r="I104" s="12"/>
      <c r="J104" s="12">
        <f t="shared" si="12"/>
        <v>100</v>
      </c>
      <c r="K104" s="35">
        <f t="shared" si="13"/>
        <v>0</v>
      </c>
      <c r="L104" s="35">
        <f t="shared" si="14"/>
        <v>0</v>
      </c>
      <c r="M104" s="35">
        <f t="shared" si="15"/>
        <v>0</v>
      </c>
      <c r="N104" s="36">
        <f t="shared" si="16"/>
        <v>0</v>
      </c>
      <c r="O104" s="36">
        <f t="shared" si="17"/>
        <v>1894000</v>
      </c>
      <c r="P104" s="12"/>
      <c r="R104" s="23"/>
    </row>
    <row r="105" spans="1:18" ht="71.25" customHeight="1" x14ac:dyDescent="0.25">
      <c r="A105" s="37" t="s">
        <v>126</v>
      </c>
      <c r="B105" s="38" t="s">
        <v>127</v>
      </c>
      <c r="C105" s="39"/>
      <c r="D105" s="40"/>
      <c r="E105" s="109"/>
      <c r="F105" s="35"/>
      <c r="G105" s="35"/>
      <c r="H105" s="36"/>
      <c r="I105" s="12"/>
      <c r="J105" s="12"/>
      <c r="K105" s="35"/>
      <c r="L105" s="35"/>
      <c r="M105" s="35"/>
      <c r="N105" s="36"/>
      <c r="O105" s="36"/>
      <c r="P105" s="12"/>
      <c r="R105" s="23"/>
    </row>
    <row r="106" spans="1:18" ht="71.25" customHeight="1" x14ac:dyDescent="0.25">
      <c r="A106" s="43">
        <v>1</v>
      </c>
      <c r="B106" s="44" t="s">
        <v>458</v>
      </c>
      <c r="C106" s="128" t="s">
        <v>32</v>
      </c>
      <c r="D106" s="91">
        <v>100</v>
      </c>
      <c r="E106" s="109">
        <v>15790</v>
      </c>
      <c r="F106" s="35">
        <f t="shared" si="9"/>
        <v>1579000</v>
      </c>
      <c r="G106" s="35">
        <f t="shared" si="10"/>
        <v>284220</v>
      </c>
      <c r="H106" s="36">
        <f t="shared" si="11"/>
        <v>1863220</v>
      </c>
      <c r="I106" s="12"/>
      <c r="J106" s="12">
        <f t="shared" si="12"/>
        <v>100</v>
      </c>
      <c r="K106" s="35">
        <f t="shared" si="13"/>
        <v>0</v>
      </c>
      <c r="L106" s="35">
        <f t="shared" si="14"/>
        <v>0</v>
      </c>
      <c r="M106" s="35">
        <f t="shared" si="15"/>
        <v>0</v>
      </c>
      <c r="N106" s="36">
        <f t="shared" si="16"/>
        <v>0</v>
      </c>
      <c r="O106" s="36">
        <f t="shared" si="17"/>
        <v>1579000</v>
      </c>
      <c r="P106" s="12"/>
      <c r="R106" s="23"/>
    </row>
    <row r="107" spans="1:18" ht="71.25" customHeight="1" x14ac:dyDescent="0.25">
      <c r="A107" s="43">
        <v>2</v>
      </c>
      <c r="B107" s="44" t="s">
        <v>459</v>
      </c>
      <c r="C107" s="128" t="s">
        <v>32</v>
      </c>
      <c r="D107" s="91">
        <v>100</v>
      </c>
      <c r="E107" s="109">
        <v>63120</v>
      </c>
      <c r="F107" s="35">
        <f t="shared" si="9"/>
        <v>6312000</v>
      </c>
      <c r="G107" s="35">
        <f t="shared" si="10"/>
        <v>1136160</v>
      </c>
      <c r="H107" s="36">
        <f t="shared" si="11"/>
        <v>7448160</v>
      </c>
      <c r="I107" s="12"/>
      <c r="J107" s="12">
        <f t="shared" si="12"/>
        <v>100</v>
      </c>
      <c r="K107" s="35">
        <f t="shared" si="13"/>
        <v>0</v>
      </c>
      <c r="L107" s="35">
        <f t="shared" si="14"/>
        <v>0</v>
      </c>
      <c r="M107" s="35">
        <f t="shared" si="15"/>
        <v>0</v>
      </c>
      <c r="N107" s="36">
        <f t="shared" si="16"/>
        <v>0</v>
      </c>
      <c r="O107" s="36">
        <f t="shared" si="17"/>
        <v>6312000</v>
      </c>
      <c r="P107" s="12"/>
      <c r="R107" s="23"/>
    </row>
    <row r="108" spans="1:18" ht="71.25" customHeight="1" x14ac:dyDescent="0.25">
      <c r="A108" s="43">
        <v>3</v>
      </c>
      <c r="B108" s="44" t="s">
        <v>460</v>
      </c>
      <c r="C108" s="128" t="s">
        <v>32</v>
      </c>
      <c r="D108" s="91">
        <v>100</v>
      </c>
      <c r="E108" s="109">
        <v>15790</v>
      </c>
      <c r="F108" s="35">
        <f t="shared" si="9"/>
        <v>1579000</v>
      </c>
      <c r="G108" s="35">
        <f t="shared" si="10"/>
        <v>284220</v>
      </c>
      <c r="H108" s="36">
        <f t="shared" si="11"/>
        <v>1863220</v>
      </c>
      <c r="I108" s="12"/>
      <c r="J108" s="12">
        <f t="shared" si="12"/>
        <v>100</v>
      </c>
      <c r="K108" s="35">
        <f t="shared" si="13"/>
        <v>0</v>
      </c>
      <c r="L108" s="35">
        <f t="shared" si="14"/>
        <v>0</v>
      </c>
      <c r="M108" s="35">
        <f t="shared" si="15"/>
        <v>0</v>
      </c>
      <c r="N108" s="36">
        <f t="shared" si="16"/>
        <v>0</v>
      </c>
      <c r="O108" s="36">
        <f t="shared" si="17"/>
        <v>1579000</v>
      </c>
      <c r="P108" s="12"/>
      <c r="R108" s="23"/>
    </row>
    <row r="109" spans="1:18" ht="71.25" customHeight="1" x14ac:dyDescent="0.25">
      <c r="A109" s="43">
        <v>4</v>
      </c>
      <c r="B109" s="44" t="s">
        <v>461</v>
      </c>
      <c r="C109" s="128" t="s">
        <v>32</v>
      </c>
      <c r="D109" s="91">
        <v>100</v>
      </c>
      <c r="E109" s="109">
        <v>31580</v>
      </c>
      <c r="F109" s="35">
        <f t="shared" si="9"/>
        <v>3158000</v>
      </c>
      <c r="G109" s="35">
        <f t="shared" si="10"/>
        <v>568440</v>
      </c>
      <c r="H109" s="36">
        <f t="shared" si="11"/>
        <v>3726440</v>
      </c>
      <c r="I109" s="12"/>
      <c r="J109" s="12">
        <f t="shared" si="12"/>
        <v>100</v>
      </c>
      <c r="K109" s="35">
        <f t="shared" si="13"/>
        <v>0</v>
      </c>
      <c r="L109" s="35">
        <f t="shared" si="14"/>
        <v>0</v>
      </c>
      <c r="M109" s="35">
        <f t="shared" si="15"/>
        <v>0</v>
      </c>
      <c r="N109" s="36">
        <f t="shared" si="16"/>
        <v>0</v>
      </c>
      <c r="O109" s="36">
        <f t="shared" si="17"/>
        <v>3158000</v>
      </c>
      <c r="P109" s="12"/>
      <c r="R109" s="23"/>
    </row>
    <row r="110" spans="1:18" ht="71.25" customHeight="1" x14ac:dyDescent="0.25">
      <c r="A110" s="43">
        <v>5</v>
      </c>
      <c r="B110" s="44" t="s">
        <v>462</v>
      </c>
      <c r="C110" s="128" t="s">
        <v>32</v>
      </c>
      <c r="D110" s="91">
        <v>100</v>
      </c>
      <c r="E110" s="109">
        <v>15790</v>
      </c>
      <c r="F110" s="35">
        <f t="shared" si="9"/>
        <v>1579000</v>
      </c>
      <c r="G110" s="35">
        <f t="shared" si="10"/>
        <v>284220</v>
      </c>
      <c r="H110" s="36">
        <f t="shared" si="11"/>
        <v>1863220</v>
      </c>
      <c r="I110" s="12"/>
      <c r="J110" s="12">
        <f t="shared" si="12"/>
        <v>100</v>
      </c>
      <c r="K110" s="35">
        <f t="shared" si="13"/>
        <v>0</v>
      </c>
      <c r="L110" s="35">
        <f t="shared" si="14"/>
        <v>0</v>
      </c>
      <c r="M110" s="35">
        <f t="shared" si="15"/>
        <v>0</v>
      </c>
      <c r="N110" s="36">
        <f t="shared" si="16"/>
        <v>0</v>
      </c>
      <c r="O110" s="36">
        <f t="shared" si="17"/>
        <v>1579000</v>
      </c>
      <c r="P110" s="12"/>
      <c r="R110" s="23"/>
    </row>
    <row r="111" spans="1:18" ht="71.25" customHeight="1" x14ac:dyDescent="0.25">
      <c r="A111" s="43">
        <v>6</v>
      </c>
      <c r="B111" s="44" t="s">
        <v>463</v>
      </c>
      <c r="C111" s="128" t="s">
        <v>32</v>
      </c>
      <c r="D111" s="91">
        <v>100</v>
      </c>
      <c r="E111" s="109">
        <v>31580</v>
      </c>
      <c r="F111" s="35">
        <f t="shared" si="9"/>
        <v>3158000</v>
      </c>
      <c r="G111" s="35">
        <f t="shared" si="10"/>
        <v>568440</v>
      </c>
      <c r="H111" s="36">
        <f t="shared" si="11"/>
        <v>3726440</v>
      </c>
      <c r="I111" s="12"/>
      <c r="J111" s="12">
        <f t="shared" si="12"/>
        <v>100</v>
      </c>
      <c r="K111" s="35">
        <f t="shared" si="13"/>
        <v>0</v>
      </c>
      <c r="L111" s="35">
        <f t="shared" si="14"/>
        <v>0</v>
      </c>
      <c r="M111" s="35">
        <f t="shared" si="15"/>
        <v>0</v>
      </c>
      <c r="N111" s="36">
        <f t="shared" si="16"/>
        <v>0</v>
      </c>
      <c r="O111" s="36">
        <f t="shared" si="17"/>
        <v>3158000</v>
      </c>
      <c r="P111" s="12"/>
      <c r="R111" s="23"/>
    </row>
    <row r="112" spans="1:18" ht="71.25" customHeight="1" x14ac:dyDescent="0.25">
      <c r="A112" s="43">
        <v>7</v>
      </c>
      <c r="B112" s="44" t="s">
        <v>464</v>
      </c>
      <c r="C112" s="128" t="s">
        <v>32</v>
      </c>
      <c r="D112" s="91">
        <v>100</v>
      </c>
      <c r="E112" s="109">
        <v>15790</v>
      </c>
      <c r="F112" s="35">
        <f t="shared" si="9"/>
        <v>1579000</v>
      </c>
      <c r="G112" s="35">
        <f t="shared" si="10"/>
        <v>284220</v>
      </c>
      <c r="H112" s="36">
        <f t="shared" si="11"/>
        <v>1863220</v>
      </c>
      <c r="I112" s="12"/>
      <c r="J112" s="12">
        <f t="shared" si="12"/>
        <v>100</v>
      </c>
      <c r="K112" s="35">
        <f t="shared" si="13"/>
        <v>0</v>
      </c>
      <c r="L112" s="35">
        <f t="shared" si="14"/>
        <v>0</v>
      </c>
      <c r="M112" s="35">
        <f t="shared" si="15"/>
        <v>0</v>
      </c>
      <c r="N112" s="36">
        <f t="shared" si="16"/>
        <v>0</v>
      </c>
      <c r="O112" s="36">
        <f t="shared" si="17"/>
        <v>1579000</v>
      </c>
      <c r="P112" s="12"/>
      <c r="R112" s="23"/>
    </row>
    <row r="113" spans="1:18" ht="71.25" customHeight="1" x14ac:dyDescent="0.25">
      <c r="A113" s="43">
        <v>8</v>
      </c>
      <c r="B113" s="44" t="s">
        <v>465</v>
      </c>
      <c r="C113" s="128" t="s">
        <v>32</v>
      </c>
      <c r="D113" s="91">
        <v>100</v>
      </c>
      <c r="E113" s="109">
        <v>47370</v>
      </c>
      <c r="F113" s="35">
        <f t="shared" si="9"/>
        <v>4737000</v>
      </c>
      <c r="G113" s="35">
        <f t="shared" si="10"/>
        <v>852660</v>
      </c>
      <c r="H113" s="36">
        <f t="shared" si="11"/>
        <v>5589660</v>
      </c>
      <c r="I113" s="12"/>
      <c r="J113" s="12">
        <f t="shared" si="12"/>
        <v>100</v>
      </c>
      <c r="K113" s="35">
        <f t="shared" si="13"/>
        <v>0</v>
      </c>
      <c r="L113" s="35">
        <f t="shared" si="14"/>
        <v>0</v>
      </c>
      <c r="M113" s="35">
        <f t="shared" si="15"/>
        <v>0</v>
      </c>
      <c r="N113" s="36">
        <f t="shared" si="16"/>
        <v>0</v>
      </c>
      <c r="O113" s="36">
        <f t="shared" si="17"/>
        <v>4737000</v>
      </c>
      <c r="P113" s="12"/>
      <c r="R113" s="23"/>
    </row>
    <row r="114" spans="1:18" ht="71.25" customHeight="1" x14ac:dyDescent="0.25">
      <c r="A114" s="43">
        <v>9</v>
      </c>
      <c r="B114" s="44" t="s">
        <v>466</v>
      </c>
      <c r="C114" s="128" t="s">
        <v>32</v>
      </c>
      <c r="D114" s="91">
        <v>100</v>
      </c>
      <c r="E114" s="109">
        <v>94740</v>
      </c>
      <c r="F114" s="35">
        <f t="shared" si="9"/>
        <v>9474000</v>
      </c>
      <c r="G114" s="35">
        <f t="shared" si="10"/>
        <v>1705320</v>
      </c>
      <c r="H114" s="36">
        <f t="shared" si="11"/>
        <v>11179320</v>
      </c>
      <c r="I114" s="12">
        <f>72.22+19.45+8.33</f>
        <v>100</v>
      </c>
      <c r="J114" s="12">
        <f t="shared" si="12"/>
        <v>0</v>
      </c>
      <c r="K114" s="35">
        <f t="shared" si="13"/>
        <v>9474000</v>
      </c>
      <c r="L114" s="35">
        <f t="shared" si="14"/>
        <v>1705320</v>
      </c>
      <c r="M114" s="35">
        <f t="shared" si="15"/>
        <v>947400</v>
      </c>
      <c r="N114" s="36">
        <f t="shared" si="16"/>
        <v>10231920</v>
      </c>
      <c r="O114" s="36">
        <f t="shared" si="17"/>
        <v>0</v>
      </c>
      <c r="P114" s="12"/>
      <c r="R114" s="23"/>
    </row>
    <row r="115" spans="1:18" ht="71.25" customHeight="1" x14ac:dyDescent="0.25">
      <c r="A115" s="43">
        <v>10</v>
      </c>
      <c r="B115" s="44" t="s">
        <v>137</v>
      </c>
      <c r="C115" s="128" t="s">
        <v>32</v>
      </c>
      <c r="D115" s="91">
        <v>100</v>
      </c>
      <c r="E115" s="109">
        <v>15750</v>
      </c>
      <c r="F115" s="35">
        <f t="shared" si="9"/>
        <v>1575000</v>
      </c>
      <c r="G115" s="35">
        <f t="shared" si="10"/>
        <v>283500</v>
      </c>
      <c r="H115" s="36">
        <f t="shared" si="11"/>
        <v>1858500</v>
      </c>
      <c r="I115" s="12"/>
      <c r="J115" s="12">
        <f t="shared" si="12"/>
        <v>100</v>
      </c>
      <c r="K115" s="35">
        <f t="shared" si="13"/>
        <v>0</v>
      </c>
      <c r="L115" s="35">
        <f t="shared" si="14"/>
        <v>0</v>
      </c>
      <c r="M115" s="35">
        <f t="shared" si="15"/>
        <v>0</v>
      </c>
      <c r="N115" s="36">
        <f t="shared" si="16"/>
        <v>0</v>
      </c>
      <c r="O115" s="36">
        <f t="shared" si="17"/>
        <v>1575000</v>
      </c>
      <c r="P115" s="12"/>
      <c r="R115" s="23"/>
    </row>
    <row r="116" spans="1:18" ht="71.25" customHeight="1" x14ac:dyDescent="0.25">
      <c r="A116" s="43">
        <v>11</v>
      </c>
      <c r="B116" s="44" t="s">
        <v>138</v>
      </c>
      <c r="C116" s="128"/>
      <c r="D116" s="91">
        <v>100</v>
      </c>
      <c r="E116" s="109">
        <v>31580</v>
      </c>
      <c r="F116" s="35">
        <f t="shared" si="9"/>
        <v>3158000</v>
      </c>
      <c r="G116" s="35">
        <f t="shared" si="10"/>
        <v>568440</v>
      </c>
      <c r="H116" s="36">
        <f t="shared" si="11"/>
        <v>3726440</v>
      </c>
      <c r="I116" s="12"/>
      <c r="J116" s="12">
        <f t="shared" si="12"/>
        <v>100</v>
      </c>
      <c r="K116" s="35">
        <f t="shared" si="13"/>
        <v>0</v>
      </c>
      <c r="L116" s="35">
        <f t="shared" si="14"/>
        <v>0</v>
      </c>
      <c r="M116" s="35">
        <f t="shared" si="15"/>
        <v>0</v>
      </c>
      <c r="N116" s="36">
        <f t="shared" si="16"/>
        <v>0</v>
      </c>
      <c r="O116" s="36">
        <f t="shared" si="17"/>
        <v>3158000</v>
      </c>
      <c r="P116" s="12"/>
      <c r="R116" s="23"/>
    </row>
    <row r="117" spans="1:18" ht="71.25" customHeight="1" x14ac:dyDescent="0.25">
      <c r="A117" s="37" t="s">
        <v>139</v>
      </c>
      <c r="B117" s="38" t="s">
        <v>140</v>
      </c>
      <c r="C117" s="39"/>
      <c r="D117" s="40"/>
      <c r="E117" s="109"/>
      <c r="F117" s="35"/>
      <c r="G117" s="35"/>
      <c r="H117" s="36"/>
      <c r="I117" s="12"/>
      <c r="J117" s="12"/>
      <c r="K117" s="35"/>
      <c r="L117" s="35"/>
      <c r="M117" s="35"/>
      <c r="N117" s="36"/>
      <c r="O117" s="36"/>
      <c r="P117" s="12"/>
      <c r="R117" s="23"/>
    </row>
    <row r="118" spans="1:18" ht="71.25" customHeight="1" x14ac:dyDescent="0.25">
      <c r="A118" s="43">
        <v>1</v>
      </c>
      <c r="B118" s="44" t="s">
        <v>141</v>
      </c>
      <c r="C118" s="128" t="s">
        <v>32</v>
      </c>
      <c r="D118" s="91">
        <v>100</v>
      </c>
      <c r="E118" s="109">
        <v>31572</v>
      </c>
      <c r="F118" s="35">
        <f t="shared" si="9"/>
        <v>3157200</v>
      </c>
      <c r="G118" s="35">
        <f t="shared" si="10"/>
        <v>568296</v>
      </c>
      <c r="H118" s="36">
        <f t="shared" si="11"/>
        <v>3725496</v>
      </c>
      <c r="I118" s="12">
        <f>60+15</f>
        <v>75</v>
      </c>
      <c r="J118" s="12">
        <f t="shared" si="12"/>
        <v>25</v>
      </c>
      <c r="K118" s="35">
        <f t="shared" si="13"/>
        <v>2367900</v>
      </c>
      <c r="L118" s="35">
        <f t="shared" si="14"/>
        <v>426222</v>
      </c>
      <c r="M118" s="35">
        <f t="shared" si="15"/>
        <v>236790</v>
      </c>
      <c r="N118" s="36">
        <f t="shared" si="16"/>
        <v>2557332</v>
      </c>
      <c r="O118" s="36">
        <f t="shared" si="17"/>
        <v>789300</v>
      </c>
      <c r="P118" s="12"/>
      <c r="R118" s="23"/>
    </row>
    <row r="119" spans="1:18" ht="71.25" customHeight="1" x14ac:dyDescent="0.25">
      <c r="A119" s="43">
        <v>2</v>
      </c>
      <c r="B119" s="44" t="s">
        <v>142</v>
      </c>
      <c r="C119" s="128" t="s">
        <v>32</v>
      </c>
      <c r="D119" s="91">
        <v>100</v>
      </c>
      <c r="E119" s="109">
        <v>15790</v>
      </c>
      <c r="F119" s="35">
        <f t="shared" si="9"/>
        <v>1579000</v>
      </c>
      <c r="G119" s="35">
        <f t="shared" si="10"/>
        <v>284220</v>
      </c>
      <c r="H119" s="36">
        <f t="shared" si="11"/>
        <v>1863220</v>
      </c>
      <c r="I119" s="12">
        <f>60+25</f>
        <v>85</v>
      </c>
      <c r="J119" s="12">
        <f t="shared" si="12"/>
        <v>15</v>
      </c>
      <c r="K119" s="35">
        <f t="shared" si="13"/>
        <v>1342150</v>
      </c>
      <c r="L119" s="35">
        <f t="shared" si="14"/>
        <v>241587</v>
      </c>
      <c r="M119" s="35">
        <f t="shared" si="15"/>
        <v>134215</v>
      </c>
      <c r="N119" s="36">
        <f t="shared" si="16"/>
        <v>1449522</v>
      </c>
      <c r="O119" s="36">
        <f t="shared" si="17"/>
        <v>236850</v>
      </c>
      <c r="P119" s="12"/>
      <c r="R119" s="23"/>
    </row>
    <row r="120" spans="1:18" ht="71.25" customHeight="1" x14ac:dyDescent="0.25">
      <c r="A120" s="43">
        <v>3</v>
      </c>
      <c r="B120" s="44" t="s">
        <v>143</v>
      </c>
      <c r="C120" s="128" t="s">
        <v>32</v>
      </c>
      <c r="D120" s="91">
        <v>100</v>
      </c>
      <c r="E120" s="109">
        <v>6310</v>
      </c>
      <c r="F120" s="35">
        <f t="shared" si="9"/>
        <v>631000</v>
      </c>
      <c r="G120" s="35">
        <f t="shared" si="10"/>
        <v>113580</v>
      </c>
      <c r="H120" s="36">
        <f t="shared" si="11"/>
        <v>744580</v>
      </c>
      <c r="I120" s="12"/>
      <c r="J120" s="12">
        <f t="shared" si="12"/>
        <v>100</v>
      </c>
      <c r="K120" s="35">
        <f t="shared" si="13"/>
        <v>0</v>
      </c>
      <c r="L120" s="35">
        <f t="shared" si="14"/>
        <v>0</v>
      </c>
      <c r="M120" s="35">
        <f t="shared" si="15"/>
        <v>0</v>
      </c>
      <c r="N120" s="36">
        <f t="shared" si="16"/>
        <v>0</v>
      </c>
      <c r="O120" s="36">
        <f t="shared" si="17"/>
        <v>631000</v>
      </c>
      <c r="P120" s="12"/>
      <c r="R120" s="23"/>
    </row>
    <row r="121" spans="1:18" ht="71.25" customHeight="1" x14ac:dyDescent="0.25">
      <c r="A121" s="43">
        <v>4</v>
      </c>
      <c r="B121" s="44" t="s">
        <v>144</v>
      </c>
      <c r="C121" s="128" t="s">
        <v>32</v>
      </c>
      <c r="D121" s="91">
        <v>100</v>
      </c>
      <c r="E121" s="109">
        <v>6310</v>
      </c>
      <c r="F121" s="35">
        <f t="shared" si="9"/>
        <v>631000</v>
      </c>
      <c r="G121" s="35">
        <f t="shared" si="10"/>
        <v>113580</v>
      </c>
      <c r="H121" s="36">
        <f t="shared" si="11"/>
        <v>744580</v>
      </c>
      <c r="I121" s="12"/>
      <c r="J121" s="12">
        <f t="shared" si="12"/>
        <v>100</v>
      </c>
      <c r="K121" s="35">
        <f t="shared" si="13"/>
        <v>0</v>
      </c>
      <c r="L121" s="35">
        <f t="shared" si="14"/>
        <v>0</v>
      </c>
      <c r="M121" s="35">
        <f t="shared" si="15"/>
        <v>0</v>
      </c>
      <c r="N121" s="36">
        <f t="shared" si="16"/>
        <v>0</v>
      </c>
      <c r="O121" s="36">
        <f t="shared" si="17"/>
        <v>631000</v>
      </c>
      <c r="P121" s="12"/>
      <c r="R121" s="23"/>
    </row>
    <row r="122" spans="1:18" ht="71.25" customHeight="1" x14ac:dyDescent="0.25">
      <c r="A122" s="37" t="s">
        <v>145</v>
      </c>
      <c r="B122" s="38" t="s">
        <v>146</v>
      </c>
      <c r="C122" s="39"/>
      <c r="D122" s="40"/>
      <c r="E122" s="109"/>
      <c r="F122" s="35"/>
      <c r="G122" s="35"/>
      <c r="H122" s="36"/>
      <c r="I122" s="12"/>
      <c r="J122" s="12"/>
      <c r="K122" s="35"/>
      <c r="L122" s="35">
        <f t="shared" si="14"/>
        <v>0</v>
      </c>
      <c r="M122" s="35"/>
      <c r="N122" s="36"/>
      <c r="O122" s="36"/>
      <c r="P122" s="12"/>
      <c r="R122" s="23"/>
    </row>
    <row r="123" spans="1:18" ht="71.25" customHeight="1" x14ac:dyDescent="0.25">
      <c r="A123" s="43">
        <v>1</v>
      </c>
      <c r="B123" s="44" t="s">
        <v>147</v>
      </c>
      <c r="C123" s="128" t="s">
        <v>32</v>
      </c>
      <c r="D123" s="91">
        <v>100</v>
      </c>
      <c r="E123" s="109">
        <v>3157</v>
      </c>
      <c r="F123" s="35">
        <f t="shared" si="9"/>
        <v>315700</v>
      </c>
      <c r="G123" s="35">
        <f t="shared" si="10"/>
        <v>56826</v>
      </c>
      <c r="H123" s="36">
        <f t="shared" si="11"/>
        <v>372526</v>
      </c>
      <c r="I123" s="12"/>
      <c r="J123" s="12">
        <f t="shared" si="12"/>
        <v>100</v>
      </c>
      <c r="K123" s="35">
        <f t="shared" si="13"/>
        <v>0</v>
      </c>
      <c r="L123" s="35">
        <f t="shared" si="14"/>
        <v>0</v>
      </c>
      <c r="M123" s="35">
        <f t="shared" si="15"/>
        <v>0</v>
      </c>
      <c r="N123" s="36">
        <f t="shared" si="16"/>
        <v>0</v>
      </c>
      <c r="O123" s="36">
        <f t="shared" si="17"/>
        <v>315700</v>
      </c>
      <c r="P123" s="12"/>
      <c r="R123" s="23"/>
    </row>
    <row r="124" spans="1:18" ht="71.25" customHeight="1" x14ac:dyDescent="0.25">
      <c r="A124" s="43">
        <v>2</v>
      </c>
      <c r="B124" s="44" t="s">
        <v>148</v>
      </c>
      <c r="C124" s="128" t="s">
        <v>32</v>
      </c>
      <c r="D124" s="91">
        <v>100</v>
      </c>
      <c r="E124" s="109">
        <v>15785</v>
      </c>
      <c r="F124" s="35">
        <f t="shared" si="9"/>
        <v>1578500</v>
      </c>
      <c r="G124" s="35">
        <f t="shared" si="10"/>
        <v>284130</v>
      </c>
      <c r="H124" s="36">
        <f t="shared" si="11"/>
        <v>1862630</v>
      </c>
      <c r="I124" s="12"/>
      <c r="J124" s="12">
        <f t="shared" si="12"/>
        <v>100</v>
      </c>
      <c r="K124" s="35">
        <f t="shared" si="13"/>
        <v>0</v>
      </c>
      <c r="L124" s="35">
        <f t="shared" si="14"/>
        <v>0</v>
      </c>
      <c r="M124" s="35">
        <f t="shared" si="15"/>
        <v>0</v>
      </c>
      <c r="N124" s="36">
        <f t="shared" si="16"/>
        <v>0</v>
      </c>
      <c r="O124" s="36">
        <f t="shared" si="17"/>
        <v>1578500</v>
      </c>
      <c r="P124" s="12"/>
      <c r="R124" s="23"/>
    </row>
    <row r="125" spans="1:18" ht="71.25" customHeight="1" x14ac:dyDescent="0.25">
      <c r="A125" s="37" t="s">
        <v>149</v>
      </c>
      <c r="B125" s="44" t="s">
        <v>150</v>
      </c>
      <c r="C125" s="128" t="s">
        <v>32</v>
      </c>
      <c r="D125" s="91">
        <v>100</v>
      </c>
      <c r="E125" s="109">
        <v>296675</v>
      </c>
      <c r="F125" s="35">
        <f t="shared" si="9"/>
        <v>29667500</v>
      </c>
      <c r="G125" s="35">
        <f t="shared" si="10"/>
        <v>5340150</v>
      </c>
      <c r="H125" s="36">
        <f t="shared" si="11"/>
        <v>35007650</v>
      </c>
      <c r="I125" s="12"/>
      <c r="J125" s="12">
        <f t="shared" si="12"/>
        <v>100</v>
      </c>
      <c r="K125" s="35">
        <f t="shared" si="13"/>
        <v>0</v>
      </c>
      <c r="L125" s="35">
        <f t="shared" si="14"/>
        <v>0</v>
      </c>
      <c r="M125" s="35">
        <f t="shared" si="15"/>
        <v>0</v>
      </c>
      <c r="N125" s="36">
        <f t="shared" si="16"/>
        <v>0</v>
      </c>
      <c r="O125" s="36">
        <f t="shared" si="17"/>
        <v>29667500</v>
      </c>
      <c r="P125" s="12"/>
      <c r="R125" s="23"/>
    </row>
    <row r="126" spans="1:18" ht="71.25" customHeight="1" x14ac:dyDescent="0.25">
      <c r="A126" s="37" t="s">
        <v>151</v>
      </c>
      <c r="B126" s="38" t="s">
        <v>152</v>
      </c>
      <c r="C126" s="39"/>
      <c r="D126" s="40"/>
      <c r="E126" s="109"/>
      <c r="F126" s="35"/>
      <c r="G126" s="35"/>
      <c r="H126" s="36"/>
      <c r="I126" s="12"/>
      <c r="J126" s="12"/>
      <c r="K126" s="35"/>
      <c r="L126" s="35"/>
      <c r="M126" s="35"/>
      <c r="N126" s="36"/>
      <c r="O126" s="36"/>
      <c r="P126" s="12"/>
      <c r="R126" s="23"/>
    </row>
    <row r="127" spans="1:18" ht="71.25" customHeight="1" x14ac:dyDescent="0.25">
      <c r="A127" s="43">
        <v>1</v>
      </c>
      <c r="B127" s="44" t="s">
        <v>153</v>
      </c>
      <c r="C127" s="128" t="s">
        <v>32</v>
      </c>
      <c r="D127" s="91">
        <v>100</v>
      </c>
      <c r="E127" s="109">
        <v>6310</v>
      </c>
      <c r="F127" s="35">
        <f t="shared" si="9"/>
        <v>631000</v>
      </c>
      <c r="G127" s="35">
        <f t="shared" si="10"/>
        <v>113580</v>
      </c>
      <c r="H127" s="36">
        <f t="shared" si="11"/>
        <v>744580</v>
      </c>
      <c r="I127" s="12"/>
      <c r="J127" s="12">
        <f t="shared" si="12"/>
        <v>100</v>
      </c>
      <c r="K127" s="35">
        <f t="shared" si="13"/>
        <v>0</v>
      </c>
      <c r="L127" s="35">
        <f t="shared" si="14"/>
        <v>0</v>
      </c>
      <c r="M127" s="35">
        <f t="shared" si="15"/>
        <v>0</v>
      </c>
      <c r="N127" s="36">
        <f t="shared" si="16"/>
        <v>0</v>
      </c>
      <c r="O127" s="36">
        <f t="shared" si="17"/>
        <v>631000</v>
      </c>
      <c r="P127" s="12"/>
      <c r="R127" s="23"/>
    </row>
    <row r="128" spans="1:18" ht="71.25" customHeight="1" x14ac:dyDescent="0.25">
      <c r="A128" s="43">
        <v>2</v>
      </c>
      <c r="B128" s="44" t="s">
        <v>154</v>
      </c>
      <c r="C128" s="128" t="s">
        <v>32</v>
      </c>
      <c r="D128" s="91">
        <v>100</v>
      </c>
      <c r="E128" s="109">
        <v>3160</v>
      </c>
      <c r="F128" s="35">
        <f t="shared" si="9"/>
        <v>316000</v>
      </c>
      <c r="G128" s="35">
        <f t="shared" si="10"/>
        <v>56880</v>
      </c>
      <c r="H128" s="36">
        <f t="shared" si="11"/>
        <v>372880</v>
      </c>
      <c r="I128" s="12"/>
      <c r="J128" s="12">
        <f t="shared" si="12"/>
        <v>100</v>
      </c>
      <c r="K128" s="35">
        <f t="shared" si="13"/>
        <v>0</v>
      </c>
      <c r="L128" s="35">
        <f t="shared" si="14"/>
        <v>0</v>
      </c>
      <c r="M128" s="35">
        <f t="shared" si="15"/>
        <v>0</v>
      </c>
      <c r="N128" s="36">
        <f t="shared" si="16"/>
        <v>0</v>
      </c>
      <c r="O128" s="36">
        <f t="shared" si="17"/>
        <v>316000</v>
      </c>
      <c r="P128" s="12"/>
      <c r="R128" s="23"/>
    </row>
    <row r="129" spans="1:18" ht="71.25" customHeight="1" x14ac:dyDescent="0.25">
      <c r="A129" s="43">
        <v>3</v>
      </c>
      <c r="B129" s="44" t="s">
        <v>155</v>
      </c>
      <c r="C129" s="128" t="s">
        <v>32</v>
      </c>
      <c r="D129" s="91">
        <v>100</v>
      </c>
      <c r="E129" s="109">
        <v>3160</v>
      </c>
      <c r="F129" s="35">
        <f t="shared" si="9"/>
        <v>316000</v>
      </c>
      <c r="G129" s="35">
        <f t="shared" si="10"/>
        <v>56880</v>
      </c>
      <c r="H129" s="36">
        <f t="shared" si="11"/>
        <v>372880</v>
      </c>
      <c r="I129" s="12"/>
      <c r="J129" s="12">
        <f t="shared" si="12"/>
        <v>100</v>
      </c>
      <c r="K129" s="35">
        <f t="shared" si="13"/>
        <v>0</v>
      </c>
      <c r="L129" s="35">
        <f t="shared" si="14"/>
        <v>0</v>
      </c>
      <c r="M129" s="35">
        <f t="shared" si="15"/>
        <v>0</v>
      </c>
      <c r="N129" s="36">
        <f t="shared" si="16"/>
        <v>0</v>
      </c>
      <c r="O129" s="36">
        <f t="shared" si="17"/>
        <v>316000</v>
      </c>
      <c r="P129" s="12"/>
      <c r="R129" s="23"/>
    </row>
    <row r="130" spans="1:18" ht="71.25" customHeight="1" x14ac:dyDescent="0.25">
      <c r="A130" s="43">
        <v>4</v>
      </c>
      <c r="B130" s="44" t="s">
        <v>156</v>
      </c>
      <c r="C130" s="128" t="s">
        <v>32</v>
      </c>
      <c r="D130" s="91">
        <v>100</v>
      </c>
      <c r="E130" s="109">
        <v>3160</v>
      </c>
      <c r="F130" s="35">
        <f t="shared" si="9"/>
        <v>316000</v>
      </c>
      <c r="G130" s="35">
        <f t="shared" si="10"/>
        <v>56880</v>
      </c>
      <c r="H130" s="36">
        <f t="shared" si="11"/>
        <v>372880</v>
      </c>
      <c r="I130" s="12"/>
      <c r="J130" s="12">
        <f t="shared" si="12"/>
        <v>100</v>
      </c>
      <c r="K130" s="35">
        <f t="shared" si="13"/>
        <v>0</v>
      </c>
      <c r="L130" s="35">
        <f t="shared" si="14"/>
        <v>0</v>
      </c>
      <c r="M130" s="35">
        <f t="shared" si="15"/>
        <v>0</v>
      </c>
      <c r="N130" s="36">
        <f t="shared" si="16"/>
        <v>0</v>
      </c>
      <c r="O130" s="36">
        <f t="shared" si="17"/>
        <v>316000</v>
      </c>
      <c r="P130" s="12"/>
      <c r="R130" s="23"/>
    </row>
    <row r="131" spans="1:18" ht="61.5" customHeight="1" x14ac:dyDescent="0.25">
      <c r="A131" s="12" t="s">
        <v>65</v>
      </c>
      <c r="B131" s="46" t="s">
        <v>157</v>
      </c>
      <c r="C131" s="44"/>
      <c r="D131" s="47"/>
      <c r="E131" s="47"/>
      <c r="F131" s="47"/>
      <c r="G131" s="35"/>
      <c r="H131" s="36"/>
      <c r="I131" s="12"/>
      <c r="J131" s="12"/>
      <c r="K131" s="35"/>
      <c r="L131" s="35"/>
      <c r="M131" s="35"/>
      <c r="N131" s="36"/>
      <c r="O131" s="36"/>
      <c r="P131" s="12"/>
    </row>
    <row r="132" spans="1:18" ht="61.5" customHeight="1" x14ac:dyDescent="0.25">
      <c r="A132" s="12" t="s">
        <v>158</v>
      </c>
      <c r="B132" s="46" t="s">
        <v>159</v>
      </c>
      <c r="C132" s="97" t="s">
        <v>26</v>
      </c>
      <c r="D132" s="91">
        <v>1</v>
      </c>
      <c r="E132" s="35">
        <v>40000000</v>
      </c>
      <c r="F132" s="35">
        <f>D132*E132</f>
        <v>40000000</v>
      </c>
      <c r="G132" s="35">
        <f t="shared" si="10"/>
        <v>7200000</v>
      </c>
      <c r="H132" s="36">
        <f t="shared" si="11"/>
        <v>47200000</v>
      </c>
      <c r="I132" s="12"/>
      <c r="J132" s="12">
        <f t="shared" si="12"/>
        <v>1</v>
      </c>
      <c r="K132" s="35">
        <f t="shared" si="13"/>
        <v>0</v>
      </c>
      <c r="L132" s="35">
        <f t="shared" si="14"/>
        <v>0</v>
      </c>
      <c r="M132" s="35">
        <f t="shared" si="15"/>
        <v>0</v>
      </c>
      <c r="N132" s="36">
        <f t="shared" si="16"/>
        <v>0</v>
      </c>
      <c r="O132" s="36">
        <f t="shared" si="17"/>
        <v>40000000</v>
      </c>
      <c r="P132" s="12"/>
    </row>
    <row r="133" spans="1:18" ht="37.5" customHeight="1" x14ac:dyDescent="0.25">
      <c r="A133" s="12" t="s">
        <v>86</v>
      </c>
      <c r="B133" s="44" t="s">
        <v>160</v>
      </c>
      <c r="C133" s="34" t="s">
        <v>26</v>
      </c>
      <c r="D133" s="34">
        <v>1</v>
      </c>
      <c r="E133" s="35">
        <v>300000</v>
      </c>
      <c r="F133" s="35">
        <f>D133*E133</f>
        <v>300000</v>
      </c>
      <c r="G133" s="35">
        <f t="shared" si="10"/>
        <v>54000</v>
      </c>
      <c r="H133" s="36">
        <f t="shared" si="11"/>
        <v>354000</v>
      </c>
      <c r="I133" s="12"/>
      <c r="J133" s="12">
        <f t="shared" si="12"/>
        <v>1</v>
      </c>
      <c r="K133" s="35">
        <f t="shared" si="13"/>
        <v>0</v>
      </c>
      <c r="L133" s="35">
        <f t="shared" si="14"/>
        <v>0</v>
      </c>
      <c r="M133" s="35">
        <f t="shared" si="15"/>
        <v>0</v>
      </c>
      <c r="N133" s="36">
        <f t="shared" si="16"/>
        <v>0</v>
      </c>
      <c r="O133" s="36">
        <f t="shared" si="17"/>
        <v>300000</v>
      </c>
      <c r="P133" s="12"/>
    </row>
    <row r="134" spans="1:18" ht="37.5" customHeight="1" x14ac:dyDescent="0.25">
      <c r="A134" s="12">
        <v>6</v>
      </c>
      <c r="B134" s="44" t="s">
        <v>161</v>
      </c>
      <c r="C134" s="34" t="s">
        <v>26</v>
      </c>
      <c r="D134" s="34">
        <v>1</v>
      </c>
      <c r="E134" s="35">
        <v>2500000</v>
      </c>
      <c r="F134" s="35">
        <f>D134*E134</f>
        <v>2500000</v>
      </c>
      <c r="G134" s="35">
        <f t="shared" si="10"/>
        <v>450000</v>
      </c>
      <c r="H134" s="36">
        <f t="shared" si="11"/>
        <v>2950000</v>
      </c>
      <c r="I134" s="12"/>
      <c r="J134" s="12">
        <f t="shared" si="12"/>
        <v>1</v>
      </c>
      <c r="K134" s="35">
        <f t="shared" si="13"/>
        <v>0</v>
      </c>
      <c r="L134" s="35">
        <f t="shared" si="14"/>
        <v>0</v>
      </c>
      <c r="M134" s="35">
        <f t="shared" si="15"/>
        <v>0</v>
      </c>
      <c r="N134" s="36">
        <f t="shared" si="16"/>
        <v>0</v>
      </c>
      <c r="O134" s="36">
        <f t="shared" si="17"/>
        <v>2500000</v>
      </c>
      <c r="P134" s="12"/>
    </row>
    <row r="135" spans="1:18" ht="37.5" customHeight="1" x14ac:dyDescent="0.25">
      <c r="A135" s="12"/>
      <c r="B135" s="44"/>
      <c r="C135" s="34"/>
      <c r="D135" s="34"/>
      <c r="E135" s="35"/>
      <c r="F135" s="35"/>
      <c r="G135" s="35"/>
      <c r="H135" s="35"/>
      <c r="I135" s="12"/>
      <c r="J135" s="12"/>
      <c r="K135" s="35"/>
      <c r="L135" s="35"/>
      <c r="M135" s="35"/>
      <c r="N135" s="36"/>
      <c r="O135" s="36"/>
      <c r="P135" s="12"/>
    </row>
    <row r="136" spans="1:18" ht="37.5" customHeight="1" x14ac:dyDescent="0.25">
      <c r="A136" s="12"/>
      <c r="B136" s="44"/>
      <c r="C136" s="34"/>
      <c r="D136" s="34"/>
      <c r="E136" s="34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</sheetData>
  <mergeCells count="28">
    <mergeCell ref="B67:D67"/>
    <mergeCell ref="B90:D90"/>
    <mergeCell ref="B105:D105"/>
    <mergeCell ref="B117:D117"/>
    <mergeCell ref="B122:D122"/>
    <mergeCell ref="B126:D126"/>
    <mergeCell ref="L3:L4"/>
    <mergeCell ref="O3:O4"/>
    <mergeCell ref="B5:E5"/>
    <mergeCell ref="B14:D14"/>
    <mergeCell ref="B39:D39"/>
    <mergeCell ref="B47:D47"/>
    <mergeCell ref="F3:F4"/>
    <mergeCell ref="G3:G4"/>
    <mergeCell ref="H3:H4"/>
    <mergeCell ref="I3:I4"/>
    <mergeCell ref="J3:J4"/>
    <mergeCell ref="K3:K4"/>
    <mergeCell ref="A1:P1"/>
    <mergeCell ref="A2:A4"/>
    <mergeCell ref="B2:B4"/>
    <mergeCell ref="C2:H2"/>
    <mergeCell ref="I2:L2"/>
    <mergeCell ref="N2:N4"/>
    <mergeCell ref="P2:P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7"/>
  <sheetViews>
    <sheetView zoomScale="85" zoomScaleNormal="85" workbookViewId="0">
      <pane xSplit="2" ySplit="5" topLeftCell="C54" activePane="bottomRight" state="frozen"/>
      <selection pane="topRight" activeCell="C1" sqref="C1"/>
      <selection pane="bottomLeft" activeCell="A6" sqref="A6"/>
      <selection pane="bottomRight" activeCell="K5" sqref="K5"/>
    </sheetView>
  </sheetViews>
  <sheetFormatPr defaultColWidth="9.140625" defaultRowHeight="18.75" x14ac:dyDescent="0.25"/>
  <cols>
    <col min="1" max="1" width="7.85546875" style="51" bestFit="1" customWidth="1"/>
    <col min="2" max="2" width="37.28515625" style="101" bestFit="1" customWidth="1"/>
    <col min="3" max="3" width="7.28515625" style="51" bestFit="1" customWidth="1"/>
    <col min="4" max="4" width="5.85546875" style="51" bestFit="1" customWidth="1"/>
    <col min="5" max="5" width="20.7109375" style="51" bestFit="1" customWidth="1"/>
    <col min="6" max="6" width="22.28515625" style="51" bestFit="1" customWidth="1"/>
    <col min="7" max="7" width="23.7109375" style="51" bestFit="1" customWidth="1"/>
    <col min="8" max="8" width="22.28515625" style="51" bestFit="1" customWidth="1"/>
    <col min="9" max="9" width="13" style="51" bestFit="1" customWidth="1"/>
    <col min="10" max="10" width="15.42578125" style="51" bestFit="1" customWidth="1"/>
    <col min="11" max="11" width="26.140625" style="51" customWidth="1"/>
    <col min="12" max="12" width="22.7109375" style="51" customWidth="1"/>
    <col min="13" max="13" width="26.140625" style="51" bestFit="1" customWidth="1"/>
    <col min="14" max="14" width="28.42578125" style="51" bestFit="1" customWidth="1"/>
    <col min="15" max="15" width="22.28515625" style="51" bestFit="1" customWidth="1"/>
    <col min="16" max="16" width="15.28515625" style="51" customWidth="1"/>
    <col min="17" max="17" width="9.140625" style="51"/>
    <col min="18" max="18" width="22.28515625" style="51" bestFit="1" customWidth="1"/>
    <col min="19" max="16384" width="9.140625" style="51"/>
  </cols>
  <sheetData>
    <row r="1" spans="1:18" ht="29.25" customHeight="1" thickBot="1" x14ac:dyDescent="0.3">
      <c r="A1" s="49" t="s">
        <v>162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8" ht="29.25" customHeight="1" x14ac:dyDescent="0.25">
      <c r="A2" s="52" t="s">
        <v>1</v>
      </c>
      <c r="B2" s="53" t="s">
        <v>2</v>
      </c>
      <c r="C2" s="53" t="s">
        <v>3</v>
      </c>
      <c r="D2" s="53"/>
      <c r="E2" s="53"/>
      <c r="F2" s="53"/>
      <c r="G2" s="53"/>
      <c r="H2" s="53"/>
      <c r="I2" s="53"/>
      <c r="J2" s="53"/>
      <c r="K2" s="53"/>
      <c r="L2" s="53"/>
      <c r="M2" s="54"/>
      <c r="N2" s="55" t="s">
        <v>4</v>
      </c>
      <c r="O2" s="56"/>
      <c r="P2" s="57" t="s">
        <v>5</v>
      </c>
    </row>
    <row r="3" spans="1:18" ht="65.25" customHeight="1" x14ac:dyDescent="0.25">
      <c r="A3" s="58"/>
      <c r="B3" s="59"/>
      <c r="C3" s="59" t="s">
        <v>6</v>
      </c>
      <c r="D3" s="59" t="s">
        <v>7</v>
      </c>
      <c r="E3" s="59" t="s">
        <v>8</v>
      </c>
      <c r="F3" s="59" t="s">
        <v>9</v>
      </c>
      <c r="G3" s="59" t="s">
        <v>10</v>
      </c>
      <c r="H3" s="59" t="s">
        <v>11</v>
      </c>
      <c r="I3" s="59" t="s">
        <v>12</v>
      </c>
      <c r="J3" s="59" t="s">
        <v>13</v>
      </c>
      <c r="K3" s="59" t="s">
        <v>14</v>
      </c>
      <c r="L3" s="59" t="s">
        <v>15</v>
      </c>
      <c r="M3" s="60" t="s">
        <v>16</v>
      </c>
      <c r="N3" s="61"/>
      <c r="O3" s="59" t="s">
        <v>17</v>
      </c>
      <c r="P3" s="62"/>
    </row>
    <row r="4" spans="1:18" ht="37.5" customHeight="1" thickBot="1" x14ac:dyDescent="0.3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5">
        <v>0.1</v>
      </c>
      <c r="N4" s="66"/>
      <c r="O4" s="64"/>
      <c r="P4" s="67"/>
    </row>
    <row r="5" spans="1:18" ht="37.5" customHeight="1" x14ac:dyDescent="0.25">
      <c r="A5" s="68" t="s">
        <v>18</v>
      </c>
      <c r="B5" s="21" t="s">
        <v>163</v>
      </c>
      <c r="C5" s="21"/>
      <c r="D5" s="21"/>
      <c r="E5" s="21"/>
      <c r="F5" s="69">
        <f>SUM(F6:F136)</f>
        <v>349506520</v>
      </c>
      <c r="G5" s="69">
        <f>SUM(G6:G136)</f>
        <v>62911173.600000001</v>
      </c>
      <c r="H5" s="69">
        <f>SUM(H6:H136)</f>
        <v>412417693.60000002</v>
      </c>
      <c r="I5" s="60"/>
      <c r="J5" s="68"/>
      <c r="K5" s="69">
        <f>SUM(K6:K136)</f>
        <v>113636287.45</v>
      </c>
      <c r="L5" s="69">
        <f>SUM(L6:L136)</f>
        <v>20454531.741</v>
      </c>
      <c r="M5" s="69">
        <f>SUM(M6:M136)</f>
        <v>11363628.744999999</v>
      </c>
      <c r="N5" s="69">
        <f>SUM(N6:N136)-N13</f>
        <v>122727190.44600001</v>
      </c>
      <c r="O5" s="69">
        <f>SUM(O6:O136)</f>
        <v>235870232.54999998</v>
      </c>
      <c r="P5" s="60"/>
      <c r="R5" s="70">
        <f>O5*1.18</f>
        <v>278326874.40899998</v>
      </c>
    </row>
    <row r="6" spans="1:18" s="76" customFormat="1" ht="77.25" customHeight="1" x14ac:dyDescent="0.25">
      <c r="A6" s="71">
        <v>1</v>
      </c>
      <c r="B6" s="72" t="s">
        <v>20</v>
      </c>
      <c r="C6" s="73" t="s">
        <v>21</v>
      </c>
      <c r="D6" s="73">
        <v>1</v>
      </c>
      <c r="E6" s="74">
        <v>5000000</v>
      </c>
      <c r="F6" s="74">
        <f>D6*E6</f>
        <v>5000000</v>
      </c>
      <c r="G6" s="74">
        <f>F6*18%</f>
        <v>900000</v>
      </c>
      <c r="H6" s="75">
        <f>F6+G6</f>
        <v>5900000</v>
      </c>
      <c r="I6" s="71">
        <v>0</v>
      </c>
      <c r="J6" s="71">
        <f>D6-I6</f>
        <v>1</v>
      </c>
      <c r="K6" s="74">
        <f>I6*E6</f>
        <v>0</v>
      </c>
      <c r="L6" s="74">
        <f>K6*18%</f>
        <v>0</v>
      </c>
      <c r="M6" s="74">
        <f>K6*10%</f>
        <v>0</v>
      </c>
      <c r="N6" s="75">
        <f>SUM(K6:L6)-M6</f>
        <v>0</v>
      </c>
      <c r="O6" s="75">
        <f>J6*E6</f>
        <v>5000000</v>
      </c>
      <c r="P6" s="71"/>
    </row>
    <row r="7" spans="1:18" s="76" customFormat="1" ht="61.5" customHeight="1" x14ac:dyDescent="0.25">
      <c r="A7" s="71"/>
      <c r="B7" s="72" t="s">
        <v>22</v>
      </c>
      <c r="C7" s="73"/>
      <c r="D7" s="73"/>
      <c r="E7" s="74"/>
      <c r="F7" s="74"/>
      <c r="G7" s="74"/>
      <c r="H7" s="75"/>
      <c r="I7" s="71"/>
      <c r="J7" s="71"/>
      <c r="K7" s="74"/>
      <c r="L7" s="74"/>
      <c r="M7" s="74"/>
      <c r="N7" s="75"/>
      <c r="O7" s="75"/>
      <c r="P7" s="71"/>
    </row>
    <row r="8" spans="1:18" s="76" customFormat="1" x14ac:dyDescent="0.25">
      <c r="A8" s="71"/>
      <c r="B8" s="72" t="s">
        <v>23</v>
      </c>
      <c r="C8" s="30" t="s">
        <v>24</v>
      </c>
      <c r="D8" s="31"/>
      <c r="E8" s="32"/>
      <c r="F8" s="32"/>
      <c r="G8" s="32"/>
      <c r="H8" s="75"/>
      <c r="I8" s="71"/>
      <c r="J8" s="71"/>
      <c r="K8" s="74"/>
      <c r="L8" s="74"/>
      <c r="M8" s="74"/>
      <c r="N8" s="75"/>
      <c r="O8" s="75"/>
      <c r="P8" s="71"/>
    </row>
    <row r="9" spans="1:18" s="76" customFormat="1" ht="56.25" x14ac:dyDescent="0.25">
      <c r="A9" s="71">
        <v>2</v>
      </c>
      <c r="B9" s="72" t="s">
        <v>25</v>
      </c>
      <c r="C9" s="30" t="s">
        <v>26</v>
      </c>
      <c r="D9" s="31">
        <v>1</v>
      </c>
      <c r="E9" s="74">
        <v>38544920</v>
      </c>
      <c r="F9" s="74">
        <f>D9*E9</f>
        <v>38544920</v>
      </c>
      <c r="G9" s="74">
        <f>F9*18%</f>
        <v>6938085.5999999996</v>
      </c>
      <c r="H9" s="75">
        <f>F9+G9</f>
        <v>45483005.600000001</v>
      </c>
      <c r="I9" s="71">
        <v>0</v>
      </c>
      <c r="J9" s="71">
        <f>D9-I9</f>
        <v>1</v>
      </c>
      <c r="K9" s="74">
        <f>I9*E9</f>
        <v>0</v>
      </c>
      <c r="L9" s="74">
        <f>K9*18%</f>
        <v>0</v>
      </c>
      <c r="M9" s="74">
        <f>K9*10%</f>
        <v>0</v>
      </c>
      <c r="N9" s="75">
        <f>SUM(K9:L9)-M9</f>
        <v>0</v>
      </c>
      <c r="O9" s="75">
        <f>J9*E9</f>
        <v>38544920</v>
      </c>
      <c r="P9" s="71"/>
    </row>
    <row r="10" spans="1:18" s="76" customFormat="1" ht="37.5" customHeight="1" x14ac:dyDescent="0.25">
      <c r="A10" s="71">
        <v>3</v>
      </c>
      <c r="B10" s="72" t="s">
        <v>27</v>
      </c>
      <c r="C10" s="30" t="s">
        <v>26</v>
      </c>
      <c r="D10" s="31">
        <v>1</v>
      </c>
      <c r="E10" s="74">
        <v>10000000</v>
      </c>
      <c r="F10" s="74">
        <f>D10*E10</f>
        <v>10000000</v>
      </c>
      <c r="G10" s="74">
        <f>F10*18%</f>
        <v>1800000</v>
      </c>
      <c r="H10" s="75">
        <f>F10+G10</f>
        <v>11800000</v>
      </c>
      <c r="I10" s="71">
        <v>0</v>
      </c>
      <c r="J10" s="71">
        <f>D10-I10</f>
        <v>1</v>
      </c>
      <c r="K10" s="74">
        <f>I10*E10</f>
        <v>0</v>
      </c>
      <c r="L10" s="74">
        <f>K10*18%</f>
        <v>0</v>
      </c>
      <c r="M10" s="74">
        <f>K10*10%</f>
        <v>0</v>
      </c>
      <c r="N10" s="75">
        <f>SUM(K10:L10)-M10</f>
        <v>0</v>
      </c>
      <c r="O10" s="75">
        <f>J10*E10</f>
        <v>10000000</v>
      </c>
      <c r="P10" s="71"/>
    </row>
    <row r="13" spans="1:18" ht="37.5" customHeight="1" x14ac:dyDescent="0.25">
      <c r="A13" s="60">
        <v>4</v>
      </c>
      <c r="B13" s="77" t="s">
        <v>28</v>
      </c>
      <c r="C13" s="78"/>
      <c r="D13" s="78"/>
      <c r="E13" s="79"/>
      <c r="F13" s="79"/>
      <c r="G13" s="79"/>
      <c r="H13" s="80"/>
      <c r="I13" s="60"/>
      <c r="J13" s="60"/>
      <c r="K13" s="79"/>
      <c r="L13" s="79"/>
      <c r="M13" s="79"/>
      <c r="N13" s="80"/>
      <c r="O13" s="80"/>
      <c r="P13" s="60"/>
      <c r="R13" s="70"/>
    </row>
    <row r="14" spans="1:18" ht="71.25" customHeight="1" x14ac:dyDescent="0.25">
      <c r="A14" s="81" t="s">
        <v>29</v>
      </c>
      <c r="B14" s="82" t="s">
        <v>30</v>
      </c>
      <c r="C14" s="83"/>
      <c r="D14" s="84"/>
      <c r="E14" s="85"/>
      <c r="F14" s="86"/>
      <c r="G14" s="79"/>
      <c r="H14" s="80"/>
      <c r="I14" s="60"/>
      <c r="J14" s="60"/>
      <c r="K14" s="79"/>
      <c r="L14" s="79"/>
      <c r="M14" s="79"/>
      <c r="N14" s="80"/>
      <c r="O14" s="80"/>
      <c r="P14" s="60"/>
      <c r="R14" s="70"/>
    </row>
    <row r="15" spans="1:18" ht="71.25" customHeight="1" x14ac:dyDescent="0.25">
      <c r="A15" s="87">
        <v>1</v>
      </c>
      <c r="B15" s="88" t="s">
        <v>164</v>
      </c>
      <c r="C15" s="89" t="s">
        <v>32</v>
      </c>
      <c r="D15" s="60">
        <v>100</v>
      </c>
      <c r="E15" s="79">
        <v>26310</v>
      </c>
      <c r="F15" s="79">
        <f>D15*E15</f>
        <v>2631000</v>
      </c>
      <c r="G15" s="79">
        <f>F15*18%</f>
        <v>473580</v>
      </c>
      <c r="H15" s="80">
        <f>F15+G15</f>
        <v>3104580</v>
      </c>
      <c r="I15" s="60">
        <f>79.27+20.73</f>
        <v>100</v>
      </c>
      <c r="J15" s="60">
        <f>D15-I15</f>
        <v>0</v>
      </c>
      <c r="K15" s="79">
        <f>I15*E15</f>
        <v>2631000</v>
      </c>
      <c r="L15" s="79">
        <f>K15*18%</f>
        <v>473580</v>
      </c>
      <c r="M15" s="79">
        <f>K15*10%</f>
        <v>263100</v>
      </c>
      <c r="N15" s="80">
        <f>SUM(K15:L15)-M15</f>
        <v>2841480</v>
      </c>
      <c r="O15" s="80">
        <f>J15*E15</f>
        <v>0</v>
      </c>
      <c r="P15" s="60"/>
      <c r="R15" s="70"/>
    </row>
    <row r="16" spans="1:18" ht="71.25" customHeight="1" x14ac:dyDescent="0.25">
      <c r="A16" s="87">
        <v>2</v>
      </c>
      <c r="B16" s="88" t="s">
        <v>165</v>
      </c>
      <c r="C16" s="89" t="s">
        <v>32</v>
      </c>
      <c r="D16" s="60">
        <v>100</v>
      </c>
      <c r="E16" s="79">
        <v>26310</v>
      </c>
      <c r="F16" s="79">
        <f t="shared" ref="F16:F79" si="0">D16*E16</f>
        <v>2631000</v>
      </c>
      <c r="G16" s="79">
        <f t="shared" ref="G16:G79" si="1">F16*18%</f>
        <v>473580</v>
      </c>
      <c r="H16" s="80">
        <f t="shared" ref="H16:H79" si="2">F16+G16</f>
        <v>3104580</v>
      </c>
      <c r="I16" s="60">
        <v>100</v>
      </c>
      <c r="J16" s="60">
        <f t="shared" ref="J16:J79" si="3">D16-I16</f>
        <v>0</v>
      </c>
      <c r="K16" s="79">
        <f t="shared" ref="K16:K79" si="4">I16*E16</f>
        <v>2631000</v>
      </c>
      <c r="L16" s="79">
        <f t="shared" ref="L16:L79" si="5">K16*18%</f>
        <v>473580</v>
      </c>
      <c r="M16" s="79">
        <f t="shared" ref="M16:M79" si="6">K16*10%</f>
        <v>263100</v>
      </c>
      <c r="N16" s="80">
        <f t="shared" ref="N16:N74" si="7">SUM(K16:L16)-M16</f>
        <v>2841480</v>
      </c>
      <c r="O16" s="80">
        <f t="shared" ref="O16:O79" si="8">J16*E16</f>
        <v>0</v>
      </c>
      <c r="P16" s="60"/>
      <c r="R16" s="70"/>
    </row>
    <row r="17" spans="1:18" ht="71.25" customHeight="1" x14ac:dyDescent="0.25">
      <c r="A17" s="87">
        <v>3</v>
      </c>
      <c r="B17" s="88" t="s">
        <v>166</v>
      </c>
      <c r="C17" s="89" t="s">
        <v>32</v>
      </c>
      <c r="D17" s="60">
        <v>100</v>
      </c>
      <c r="E17" s="79">
        <v>39500</v>
      </c>
      <c r="F17" s="79">
        <f t="shared" si="0"/>
        <v>3950000</v>
      </c>
      <c r="G17" s="79">
        <f t="shared" si="1"/>
        <v>711000</v>
      </c>
      <c r="H17" s="80">
        <f t="shared" si="2"/>
        <v>4661000</v>
      </c>
      <c r="I17" s="60">
        <f>38.02+61.98</f>
        <v>100</v>
      </c>
      <c r="J17" s="60">
        <f t="shared" si="3"/>
        <v>0</v>
      </c>
      <c r="K17" s="79">
        <f t="shared" si="4"/>
        <v>3950000</v>
      </c>
      <c r="L17" s="79">
        <f t="shared" si="5"/>
        <v>711000</v>
      </c>
      <c r="M17" s="79">
        <f t="shared" si="6"/>
        <v>395000</v>
      </c>
      <c r="N17" s="80">
        <f t="shared" si="7"/>
        <v>4266000</v>
      </c>
      <c r="O17" s="80">
        <f t="shared" si="8"/>
        <v>0</v>
      </c>
      <c r="P17" s="60"/>
      <c r="R17" s="70"/>
    </row>
    <row r="18" spans="1:18" ht="71.25" customHeight="1" x14ac:dyDescent="0.25">
      <c r="A18" s="87">
        <v>4</v>
      </c>
      <c r="B18" s="88" t="s">
        <v>167</v>
      </c>
      <c r="C18" s="89" t="s">
        <v>32</v>
      </c>
      <c r="D18" s="60">
        <v>100</v>
      </c>
      <c r="E18" s="79">
        <v>5260</v>
      </c>
      <c r="F18" s="79">
        <f t="shared" si="0"/>
        <v>526000</v>
      </c>
      <c r="G18" s="79">
        <f t="shared" si="1"/>
        <v>94680</v>
      </c>
      <c r="H18" s="80">
        <f t="shared" si="2"/>
        <v>620680</v>
      </c>
      <c r="I18" s="60">
        <f>78</f>
        <v>78</v>
      </c>
      <c r="J18" s="60">
        <f t="shared" si="3"/>
        <v>22</v>
      </c>
      <c r="K18" s="79">
        <f t="shared" si="4"/>
        <v>410280</v>
      </c>
      <c r="L18" s="79">
        <f t="shared" si="5"/>
        <v>73850.399999999994</v>
      </c>
      <c r="M18" s="79">
        <f t="shared" si="6"/>
        <v>41028</v>
      </c>
      <c r="N18" s="80">
        <f t="shared" si="7"/>
        <v>443102.4</v>
      </c>
      <c r="O18" s="80">
        <f t="shared" si="8"/>
        <v>115720</v>
      </c>
      <c r="P18" s="60"/>
      <c r="R18" s="70"/>
    </row>
    <row r="19" spans="1:18" ht="71.25" customHeight="1" x14ac:dyDescent="0.25">
      <c r="A19" s="87">
        <v>5</v>
      </c>
      <c r="B19" s="88" t="s">
        <v>168</v>
      </c>
      <c r="C19" s="89" t="s">
        <v>32</v>
      </c>
      <c r="D19" s="60">
        <v>100</v>
      </c>
      <c r="E19" s="79">
        <v>26310</v>
      </c>
      <c r="F19" s="79">
        <f t="shared" si="0"/>
        <v>2631000</v>
      </c>
      <c r="G19" s="79">
        <f t="shared" si="1"/>
        <v>473580</v>
      </c>
      <c r="H19" s="80">
        <f t="shared" si="2"/>
        <v>3104580</v>
      </c>
      <c r="I19" s="60">
        <v>100</v>
      </c>
      <c r="J19" s="60">
        <f t="shared" si="3"/>
        <v>0</v>
      </c>
      <c r="K19" s="79">
        <f t="shared" si="4"/>
        <v>2631000</v>
      </c>
      <c r="L19" s="79">
        <f t="shared" si="5"/>
        <v>473580</v>
      </c>
      <c r="M19" s="79">
        <f t="shared" si="6"/>
        <v>263100</v>
      </c>
      <c r="N19" s="80">
        <f t="shared" si="7"/>
        <v>2841480</v>
      </c>
      <c r="O19" s="80">
        <f t="shared" si="8"/>
        <v>0</v>
      </c>
      <c r="P19" s="60"/>
      <c r="R19" s="70"/>
    </row>
    <row r="20" spans="1:18" ht="71.25" customHeight="1" x14ac:dyDescent="0.25">
      <c r="A20" s="87">
        <v>6</v>
      </c>
      <c r="B20" s="88" t="s">
        <v>169</v>
      </c>
      <c r="C20" s="89" t="s">
        <v>32</v>
      </c>
      <c r="D20" s="60">
        <v>100</v>
      </c>
      <c r="E20" s="79">
        <v>26310</v>
      </c>
      <c r="F20" s="79">
        <f t="shared" si="0"/>
        <v>2631000</v>
      </c>
      <c r="G20" s="79">
        <f t="shared" si="1"/>
        <v>473580</v>
      </c>
      <c r="H20" s="80">
        <f t="shared" si="2"/>
        <v>3104580</v>
      </c>
      <c r="I20" s="60">
        <v>100</v>
      </c>
      <c r="J20" s="60">
        <f t="shared" si="3"/>
        <v>0</v>
      </c>
      <c r="K20" s="79">
        <f t="shared" si="4"/>
        <v>2631000</v>
      </c>
      <c r="L20" s="79">
        <f t="shared" si="5"/>
        <v>473580</v>
      </c>
      <c r="M20" s="79">
        <f t="shared" si="6"/>
        <v>263100</v>
      </c>
      <c r="N20" s="80">
        <f t="shared" si="7"/>
        <v>2841480</v>
      </c>
      <c r="O20" s="80">
        <f t="shared" si="8"/>
        <v>0</v>
      </c>
      <c r="P20" s="60"/>
      <c r="R20" s="70"/>
    </row>
    <row r="21" spans="1:18" ht="71.25" customHeight="1" x14ac:dyDescent="0.25">
      <c r="A21" s="87">
        <v>7</v>
      </c>
      <c r="B21" s="88" t="s">
        <v>170</v>
      </c>
      <c r="C21" s="89" t="s">
        <v>32</v>
      </c>
      <c r="D21" s="60">
        <v>100</v>
      </c>
      <c r="E21" s="79">
        <v>39500</v>
      </c>
      <c r="F21" s="79">
        <f t="shared" si="0"/>
        <v>3950000</v>
      </c>
      <c r="G21" s="79">
        <f t="shared" si="1"/>
        <v>711000</v>
      </c>
      <c r="H21" s="80">
        <f t="shared" si="2"/>
        <v>4661000</v>
      </c>
      <c r="I21" s="60">
        <v>100</v>
      </c>
      <c r="J21" s="60">
        <f t="shared" si="3"/>
        <v>0</v>
      </c>
      <c r="K21" s="79">
        <f t="shared" si="4"/>
        <v>3950000</v>
      </c>
      <c r="L21" s="79">
        <f t="shared" si="5"/>
        <v>711000</v>
      </c>
      <c r="M21" s="79">
        <f t="shared" si="6"/>
        <v>395000</v>
      </c>
      <c r="N21" s="80">
        <f t="shared" si="7"/>
        <v>4266000</v>
      </c>
      <c r="O21" s="80">
        <f t="shared" si="8"/>
        <v>0</v>
      </c>
      <c r="P21" s="60"/>
      <c r="R21" s="70"/>
    </row>
    <row r="22" spans="1:18" ht="71.25" customHeight="1" x14ac:dyDescent="0.25">
      <c r="A22" s="87">
        <v>8</v>
      </c>
      <c r="B22" s="88" t="s">
        <v>171</v>
      </c>
      <c r="C22" s="89" t="s">
        <v>32</v>
      </c>
      <c r="D22" s="60">
        <v>100</v>
      </c>
      <c r="E22" s="79">
        <v>5260</v>
      </c>
      <c r="F22" s="79">
        <f t="shared" si="0"/>
        <v>526000</v>
      </c>
      <c r="G22" s="79">
        <f t="shared" si="1"/>
        <v>94680</v>
      </c>
      <c r="H22" s="80">
        <f t="shared" si="2"/>
        <v>620680</v>
      </c>
      <c r="I22" s="60">
        <f>44.2</f>
        <v>44.2</v>
      </c>
      <c r="J22" s="60">
        <f t="shared" si="3"/>
        <v>55.8</v>
      </c>
      <c r="K22" s="79">
        <f t="shared" si="4"/>
        <v>232492.00000000003</v>
      </c>
      <c r="L22" s="79">
        <f t="shared" si="5"/>
        <v>41848.560000000005</v>
      </c>
      <c r="M22" s="79">
        <f t="shared" si="6"/>
        <v>23249.200000000004</v>
      </c>
      <c r="N22" s="80">
        <f t="shared" si="7"/>
        <v>251091.36000000004</v>
      </c>
      <c r="O22" s="80">
        <f t="shared" si="8"/>
        <v>293508</v>
      </c>
      <c r="P22" s="60"/>
      <c r="R22" s="70"/>
    </row>
    <row r="23" spans="1:18" ht="71.25" customHeight="1" x14ac:dyDescent="0.25">
      <c r="A23" s="87">
        <v>9</v>
      </c>
      <c r="B23" s="88" t="s">
        <v>172</v>
      </c>
      <c r="C23" s="89" t="s">
        <v>32</v>
      </c>
      <c r="D23" s="60">
        <v>100</v>
      </c>
      <c r="E23" s="79">
        <v>26310</v>
      </c>
      <c r="F23" s="79">
        <f t="shared" si="0"/>
        <v>2631000</v>
      </c>
      <c r="G23" s="79">
        <f t="shared" si="1"/>
        <v>473580</v>
      </c>
      <c r="H23" s="80">
        <f t="shared" si="2"/>
        <v>3104580</v>
      </c>
      <c r="I23" s="60">
        <v>100</v>
      </c>
      <c r="J23" s="60">
        <f t="shared" si="3"/>
        <v>0</v>
      </c>
      <c r="K23" s="79">
        <f t="shared" si="4"/>
        <v>2631000</v>
      </c>
      <c r="L23" s="79">
        <f t="shared" si="5"/>
        <v>473580</v>
      </c>
      <c r="M23" s="79">
        <f t="shared" si="6"/>
        <v>263100</v>
      </c>
      <c r="N23" s="80">
        <f t="shared" si="7"/>
        <v>2841480</v>
      </c>
      <c r="O23" s="80">
        <f t="shared" si="8"/>
        <v>0</v>
      </c>
      <c r="P23" s="60"/>
      <c r="R23" s="70"/>
    </row>
    <row r="24" spans="1:18" ht="71.25" customHeight="1" x14ac:dyDescent="0.25">
      <c r="A24" s="87">
        <v>10</v>
      </c>
      <c r="B24" s="88" t="s">
        <v>173</v>
      </c>
      <c r="C24" s="89" t="s">
        <v>32</v>
      </c>
      <c r="D24" s="60">
        <v>100</v>
      </c>
      <c r="E24" s="79">
        <v>26310</v>
      </c>
      <c r="F24" s="79">
        <f t="shared" si="0"/>
        <v>2631000</v>
      </c>
      <c r="G24" s="79">
        <f t="shared" si="1"/>
        <v>473580</v>
      </c>
      <c r="H24" s="80">
        <f t="shared" si="2"/>
        <v>3104580</v>
      </c>
      <c r="I24" s="60">
        <v>100</v>
      </c>
      <c r="J24" s="60">
        <f t="shared" si="3"/>
        <v>0</v>
      </c>
      <c r="K24" s="79">
        <f t="shared" si="4"/>
        <v>2631000</v>
      </c>
      <c r="L24" s="79">
        <f t="shared" si="5"/>
        <v>473580</v>
      </c>
      <c r="M24" s="79">
        <f t="shared" si="6"/>
        <v>263100</v>
      </c>
      <c r="N24" s="80">
        <f t="shared" si="7"/>
        <v>2841480</v>
      </c>
      <c r="O24" s="80">
        <f t="shared" si="8"/>
        <v>0</v>
      </c>
      <c r="P24" s="60"/>
      <c r="R24" s="70"/>
    </row>
    <row r="25" spans="1:18" ht="71.25" customHeight="1" x14ac:dyDescent="0.25">
      <c r="A25" s="87">
        <v>11</v>
      </c>
      <c r="B25" s="88" t="s">
        <v>174</v>
      </c>
      <c r="C25" s="89" t="s">
        <v>32</v>
      </c>
      <c r="D25" s="60">
        <v>100</v>
      </c>
      <c r="E25" s="79">
        <v>39500</v>
      </c>
      <c r="F25" s="79">
        <f t="shared" si="0"/>
        <v>3950000</v>
      </c>
      <c r="G25" s="79">
        <f t="shared" si="1"/>
        <v>711000</v>
      </c>
      <c r="H25" s="80">
        <f t="shared" si="2"/>
        <v>4661000</v>
      </c>
      <c r="I25" s="60">
        <v>100</v>
      </c>
      <c r="J25" s="60">
        <f t="shared" si="3"/>
        <v>0</v>
      </c>
      <c r="K25" s="79">
        <f t="shared" si="4"/>
        <v>3950000</v>
      </c>
      <c r="L25" s="79">
        <f t="shared" si="5"/>
        <v>711000</v>
      </c>
      <c r="M25" s="79">
        <f t="shared" si="6"/>
        <v>395000</v>
      </c>
      <c r="N25" s="80">
        <f t="shared" si="7"/>
        <v>4266000</v>
      </c>
      <c r="O25" s="80">
        <f t="shared" si="8"/>
        <v>0</v>
      </c>
      <c r="P25" s="60"/>
      <c r="R25" s="70"/>
    </row>
    <row r="26" spans="1:18" ht="71.25" customHeight="1" x14ac:dyDescent="0.25">
      <c r="A26" s="87">
        <v>12</v>
      </c>
      <c r="B26" s="88" t="s">
        <v>175</v>
      </c>
      <c r="C26" s="89" t="s">
        <v>32</v>
      </c>
      <c r="D26" s="60">
        <v>100</v>
      </c>
      <c r="E26" s="79">
        <v>5260</v>
      </c>
      <c r="F26" s="79">
        <f t="shared" si="0"/>
        <v>526000</v>
      </c>
      <c r="G26" s="79">
        <f t="shared" si="1"/>
        <v>94680</v>
      </c>
      <c r="H26" s="80">
        <f t="shared" si="2"/>
        <v>620680</v>
      </c>
      <c r="I26" s="60">
        <f>88.4</f>
        <v>88.4</v>
      </c>
      <c r="J26" s="60">
        <f t="shared" si="3"/>
        <v>11.599999999999994</v>
      </c>
      <c r="K26" s="79">
        <f t="shared" si="4"/>
        <v>464984.00000000006</v>
      </c>
      <c r="L26" s="79">
        <f t="shared" si="5"/>
        <v>83697.12000000001</v>
      </c>
      <c r="M26" s="79">
        <f t="shared" si="6"/>
        <v>46498.400000000009</v>
      </c>
      <c r="N26" s="80">
        <f t="shared" si="7"/>
        <v>502182.72000000009</v>
      </c>
      <c r="O26" s="80">
        <f t="shared" si="8"/>
        <v>61015.999999999971</v>
      </c>
      <c r="P26" s="60"/>
      <c r="R26" s="70"/>
    </row>
    <row r="27" spans="1:18" ht="71.25" customHeight="1" x14ac:dyDescent="0.25">
      <c r="A27" s="87">
        <v>13</v>
      </c>
      <c r="B27" s="88" t="s">
        <v>176</v>
      </c>
      <c r="C27" s="89" t="s">
        <v>32</v>
      </c>
      <c r="D27" s="60">
        <v>100</v>
      </c>
      <c r="E27" s="79">
        <v>26310</v>
      </c>
      <c r="F27" s="79">
        <f t="shared" si="0"/>
        <v>2631000</v>
      </c>
      <c r="G27" s="79">
        <f t="shared" si="1"/>
        <v>473580</v>
      </c>
      <c r="H27" s="80">
        <f t="shared" si="2"/>
        <v>3104580</v>
      </c>
      <c r="I27" s="60">
        <v>100</v>
      </c>
      <c r="J27" s="60">
        <f t="shared" si="3"/>
        <v>0</v>
      </c>
      <c r="K27" s="79">
        <f t="shared" si="4"/>
        <v>2631000</v>
      </c>
      <c r="L27" s="79">
        <f t="shared" si="5"/>
        <v>473580</v>
      </c>
      <c r="M27" s="79">
        <f t="shared" si="6"/>
        <v>263100</v>
      </c>
      <c r="N27" s="80">
        <f t="shared" si="7"/>
        <v>2841480</v>
      </c>
      <c r="O27" s="80">
        <f t="shared" si="8"/>
        <v>0</v>
      </c>
      <c r="P27" s="60"/>
      <c r="R27" s="70"/>
    </row>
    <row r="28" spans="1:18" ht="71.25" customHeight="1" x14ac:dyDescent="0.25">
      <c r="A28" s="87">
        <v>14</v>
      </c>
      <c r="B28" s="88" t="s">
        <v>177</v>
      </c>
      <c r="C28" s="89" t="s">
        <v>32</v>
      </c>
      <c r="D28" s="60">
        <v>100</v>
      </c>
      <c r="E28" s="79">
        <v>26310</v>
      </c>
      <c r="F28" s="79">
        <f t="shared" si="0"/>
        <v>2631000</v>
      </c>
      <c r="G28" s="79">
        <f t="shared" si="1"/>
        <v>473580</v>
      </c>
      <c r="H28" s="80">
        <f t="shared" si="2"/>
        <v>3104580</v>
      </c>
      <c r="I28" s="60">
        <v>100</v>
      </c>
      <c r="J28" s="60">
        <f t="shared" si="3"/>
        <v>0</v>
      </c>
      <c r="K28" s="79">
        <f t="shared" si="4"/>
        <v>2631000</v>
      </c>
      <c r="L28" s="79">
        <f t="shared" si="5"/>
        <v>473580</v>
      </c>
      <c r="M28" s="79">
        <f t="shared" si="6"/>
        <v>263100</v>
      </c>
      <c r="N28" s="80">
        <f t="shared" si="7"/>
        <v>2841480</v>
      </c>
      <c r="O28" s="80">
        <f t="shared" si="8"/>
        <v>0</v>
      </c>
      <c r="P28" s="60"/>
      <c r="R28" s="70"/>
    </row>
    <row r="29" spans="1:18" ht="71.25" customHeight="1" x14ac:dyDescent="0.25">
      <c r="A29" s="87">
        <v>15</v>
      </c>
      <c r="B29" s="88" t="s">
        <v>178</v>
      </c>
      <c r="C29" s="89" t="s">
        <v>32</v>
      </c>
      <c r="D29" s="60">
        <v>100</v>
      </c>
      <c r="E29" s="79">
        <v>39500</v>
      </c>
      <c r="F29" s="79">
        <f t="shared" si="0"/>
        <v>3950000</v>
      </c>
      <c r="G29" s="79">
        <f t="shared" si="1"/>
        <v>711000</v>
      </c>
      <c r="H29" s="80">
        <f t="shared" si="2"/>
        <v>4661000</v>
      </c>
      <c r="I29" s="60">
        <f>22.4+77.6</f>
        <v>100</v>
      </c>
      <c r="J29" s="60">
        <f t="shared" si="3"/>
        <v>0</v>
      </c>
      <c r="K29" s="79">
        <f t="shared" si="4"/>
        <v>3950000</v>
      </c>
      <c r="L29" s="79">
        <f t="shared" si="5"/>
        <v>711000</v>
      </c>
      <c r="M29" s="79">
        <f t="shared" si="6"/>
        <v>395000</v>
      </c>
      <c r="N29" s="80">
        <f t="shared" si="7"/>
        <v>4266000</v>
      </c>
      <c r="O29" s="80">
        <f t="shared" si="8"/>
        <v>0</v>
      </c>
      <c r="P29" s="60"/>
      <c r="R29" s="70"/>
    </row>
    <row r="30" spans="1:18" ht="71.25" customHeight="1" x14ac:dyDescent="0.25">
      <c r="A30" s="87">
        <v>16</v>
      </c>
      <c r="B30" s="88" t="s">
        <v>179</v>
      </c>
      <c r="C30" s="89" t="s">
        <v>32</v>
      </c>
      <c r="D30" s="60">
        <v>100</v>
      </c>
      <c r="E30" s="79">
        <v>5260</v>
      </c>
      <c r="F30" s="79">
        <f t="shared" si="0"/>
        <v>526000</v>
      </c>
      <c r="G30" s="79">
        <f t="shared" si="1"/>
        <v>94680</v>
      </c>
      <c r="H30" s="80">
        <f t="shared" si="2"/>
        <v>620680</v>
      </c>
      <c r="I30" s="60">
        <f>47.84</f>
        <v>47.84</v>
      </c>
      <c r="J30" s="60">
        <f t="shared" si="3"/>
        <v>52.16</v>
      </c>
      <c r="K30" s="79">
        <f t="shared" si="4"/>
        <v>251638.40000000002</v>
      </c>
      <c r="L30" s="79">
        <f t="shared" si="5"/>
        <v>45294.912000000004</v>
      </c>
      <c r="M30" s="79">
        <f t="shared" si="6"/>
        <v>25163.840000000004</v>
      </c>
      <c r="N30" s="80">
        <f t="shared" si="7"/>
        <v>271769.47200000001</v>
      </c>
      <c r="O30" s="80">
        <f t="shared" si="8"/>
        <v>274361.59999999998</v>
      </c>
      <c r="P30" s="60"/>
      <c r="R30" s="70"/>
    </row>
    <row r="31" spans="1:18" ht="71.25" customHeight="1" x14ac:dyDescent="0.25">
      <c r="A31" s="87">
        <v>17</v>
      </c>
      <c r="B31" s="88" t="s">
        <v>180</v>
      </c>
      <c r="C31" s="89" t="s">
        <v>32</v>
      </c>
      <c r="D31" s="60">
        <v>100</v>
      </c>
      <c r="E31" s="79">
        <v>13160</v>
      </c>
      <c r="F31" s="79">
        <f t="shared" si="0"/>
        <v>1316000</v>
      </c>
      <c r="G31" s="79">
        <f t="shared" si="1"/>
        <v>236880</v>
      </c>
      <c r="H31" s="80">
        <f t="shared" si="2"/>
        <v>1552880</v>
      </c>
      <c r="I31" s="60"/>
      <c r="J31" s="60">
        <f t="shared" si="3"/>
        <v>100</v>
      </c>
      <c r="K31" s="79">
        <f t="shared" si="4"/>
        <v>0</v>
      </c>
      <c r="L31" s="79">
        <f t="shared" si="5"/>
        <v>0</v>
      </c>
      <c r="M31" s="79">
        <f t="shared" si="6"/>
        <v>0</v>
      </c>
      <c r="N31" s="80">
        <f t="shared" si="7"/>
        <v>0</v>
      </c>
      <c r="O31" s="80">
        <f t="shared" si="8"/>
        <v>1316000</v>
      </c>
      <c r="P31" s="60"/>
      <c r="R31" s="70"/>
    </row>
    <row r="32" spans="1:18" ht="71.25" customHeight="1" x14ac:dyDescent="0.25">
      <c r="A32" s="87">
        <v>18</v>
      </c>
      <c r="B32" s="88" t="s">
        <v>181</v>
      </c>
      <c r="C32" s="89" t="s">
        <v>32</v>
      </c>
      <c r="D32" s="60">
        <v>100</v>
      </c>
      <c r="E32" s="79">
        <v>10530</v>
      </c>
      <c r="F32" s="79">
        <f t="shared" si="0"/>
        <v>1053000</v>
      </c>
      <c r="G32" s="79">
        <f t="shared" si="1"/>
        <v>189540</v>
      </c>
      <c r="H32" s="80">
        <f t="shared" si="2"/>
        <v>1242540</v>
      </c>
      <c r="I32" s="60"/>
      <c r="J32" s="60">
        <f t="shared" si="3"/>
        <v>100</v>
      </c>
      <c r="K32" s="79">
        <f t="shared" si="4"/>
        <v>0</v>
      </c>
      <c r="L32" s="79">
        <f t="shared" si="5"/>
        <v>0</v>
      </c>
      <c r="M32" s="79">
        <f t="shared" si="6"/>
        <v>0</v>
      </c>
      <c r="N32" s="80">
        <f t="shared" si="7"/>
        <v>0</v>
      </c>
      <c r="O32" s="80">
        <f t="shared" si="8"/>
        <v>1053000</v>
      </c>
      <c r="P32" s="60"/>
      <c r="R32" s="70"/>
    </row>
    <row r="33" spans="1:18" ht="71.25" customHeight="1" x14ac:dyDescent="0.25">
      <c r="A33" s="87">
        <v>19</v>
      </c>
      <c r="B33" s="88" t="s">
        <v>182</v>
      </c>
      <c r="C33" s="89" t="s">
        <v>32</v>
      </c>
      <c r="D33" s="60">
        <v>100</v>
      </c>
      <c r="E33" s="79">
        <v>26320</v>
      </c>
      <c r="F33" s="79">
        <f t="shared" si="0"/>
        <v>2632000</v>
      </c>
      <c r="G33" s="79">
        <f t="shared" si="1"/>
        <v>473760</v>
      </c>
      <c r="H33" s="80">
        <f t="shared" si="2"/>
        <v>3105760</v>
      </c>
      <c r="I33" s="60"/>
      <c r="J33" s="60">
        <f t="shared" si="3"/>
        <v>100</v>
      </c>
      <c r="K33" s="79">
        <f t="shared" si="4"/>
        <v>0</v>
      </c>
      <c r="L33" s="79">
        <f t="shared" si="5"/>
        <v>0</v>
      </c>
      <c r="M33" s="79">
        <f t="shared" si="6"/>
        <v>0</v>
      </c>
      <c r="N33" s="80">
        <f t="shared" si="7"/>
        <v>0</v>
      </c>
      <c r="O33" s="80">
        <f t="shared" si="8"/>
        <v>2632000</v>
      </c>
      <c r="P33" s="60"/>
      <c r="R33" s="70"/>
    </row>
    <row r="34" spans="1:18" ht="71.25" customHeight="1" x14ac:dyDescent="0.25">
      <c r="A34" s="87">
        <v>20</v>
      </c>
      <c r="B34" s="88" t="s">
        <v>183</v>
      </c>
      <c r="C34" s="89" t="s">
        <v>32</v>
      </c>
      <c r="D34" s="60">
        <v>100</v>
      </c>
      <c r="E34" s="79">
        <v>2630</v>
      </c>
      <c r="F34" s="79">
        <f t="shared" si="0"/>
        <v>263000</v>
      </c>
      <c r="G34" s="79">
        <f t="shared" si="1"/>
        <v>47340</v>
      </c>
      <c r="H34" s="80">
        <f t="shared" si="2"/>
        <v>310340</v>
      </c>
      <c r="I34" s="60"/>
      <c r="J34" s="60">
        <f t="shared" si="3"/>
        <v>100</v>
      </c>
      <c r="K34" s="79">
        <f t="shared" si="4"/>
        <v>0</v>
      </c>
      <c r="L34" s="79">
        <f t="shared" si="5"/>
        <v>0</v>
      </c>
      <c r="M34" s="79">
        <f t="shared" si="6"/>
        <v>0</v>
      </c>
      <c r="N34" s="80">
        <f t="shared" si="7"/>
        <v>0</v>
      </c>
      <c r="O34" s="80">
        <f t="shared" si="8"/>
        <v>263000</v>
      </c>
      <c r="P34" s="60"/>
      <c r="R34" s="70"/>
    </row>
    <row r="35" spans="1:18" ht="71.25" customHeight="1" x14ac:dyDescent="0.25">
      <c r="A35" s="81" t="s">
        <v>56</v>
      </c>
      <c r="B35" s="82" t="s">
        <v>57</v>
      </c>
      <c r="C35" s="83"/>
      <c r="D35" s="84"/>
      <c r="E35" s="90"/>
      <c r="F35" s="79"/>
      <c r="G35" s="79"/>
      <c r="H35" s="80"/>
      <c r="I35" s="60"/>
      <c r="J35" s="60"/>
      <c r="K35" s="79"/>
      <c r="L35" s="79">
        <f t="shared" si="5"/>
        <v>0</v>
      </c>
      <c r="M35" s="79"/>
      <c r="N35" s="80"/>
      <c r="O35" s="80"/>
      <c r="P35" s="60"/>
      <c r="R35" s="70"/>
    </row>
    <row r="36" spans="1:18" ht="71.25" customHeight="1" x14ac:dyDescent="0.25">
      <c r="A36" s="87">
        <v>1</v>
      </c>
      <c r="B36" s="88" t="s">
        <v>58</v>
      </c>
      <c r="C36" s="89" t="s">
        <v>32</v>
      </c>
      <c r="D36" s="91">
        <v>100</v>
      </c>
      <c r="E36" s="79">
        <v>18420</v>
      </c>
      <c r="F36" s="79">
        <f>D36*E36</f>
        <v>1842000</v>
      </c>
      <c r="G36" s="79">
        <f t="shared" si="1"/>
        <v>331560</v>
      </c>
      <c r="H36" s="80">
        <f t="shared" si="2"/>
        <v>2173560</v>
      </c>
      <c r="I36" s="60">
        <f>63.83</f>
        <v>63.83</v>
      </c>
      <c r="J36" s="60">
        <f t="shared" si="3"/>
        <v>36.17</v>
      </c>
      <c r="K36" s="79">
        <f t="shared" si="4"/>
        <v>1175748.5999999999</v>
      </c>
      <c r="L36" s="79">
        <f t="shared" si="5"/>
        <v>211634.74799999996</v>
      </c>
      <c r="M36" s="79">
        <f t="shared" si="6"/>
        <v>117574.85999999999</v>
      </c>
      <c r="N36" s="80">
        <f t="shared" si="7"/>
        <v>1269808.4879999999</v>
      </c>
      <c r="O36" s="80">
        <f t="shared" si="8"/>
        <v>666251.4</v>
      </c>
      <c r="P36" s="60"/>
      <c r="R36" s="70"/>
    </row>
    <row r="37" spans="1:18" ht="71.25" customHeight="1" x14ac:dyDescent="0.25">
      <c r="A37" s="87">
        <v>2</v>
      </c>
      <c r="B37" s="88" t="s">
        <v>59</v>
      </c>
      <c r="C37" s="89" t="s">
        <v>32</v>
      </c>
      <c r="D37" s="91">
        <v>100</v>
      </c>
      <c r="E37" s="79">
        <v>18420</v>
      </c>
      <c r="F37" s="79">
        <f t="shared" si="0"/>
        <v>1842000</v>
      </c>
      <c r="G37" s="79">
        <f t="shared" si="1"/>
        <v>331560</v>
      </c>
      <c r="H37" s="80">
        <f t="shared" si="2"/>
        <v>2173560</v>
      </c>
      <c r="I37" s="60">
        <f>55.32</f>
        <v>55.32</v>
      </c>
      <c r="J37" s="60">
        <f t="shared" si="3"/>
        <v>44.68</v>
      </c>
      <c r="K37" s="79">
        <f t="shared" si="4"/>
        <v>1018994.4</v>
      </c>
      <c r="L37" s="79">
        <f t="shared" si="5"/>
        <v>183418.992</v>
      </c>
      <c r="M37" s="79">
        <f t="shared" si="6"/>
        <v>101899.44</v>
      </c>
      <c r="N37" s="80">
        <f t="shared" si="7"/>
        <v>1100513.952</v>
      </c>
      <c r="O37" s="80">
        <f t="shared" si="8"/>
        <v>823005.6</v>
      </c>
      <c r="P37" s="60"/>
      <c r="R37" s="70"/>
    </row>
    <row r="38" spans="1:18" ht="71.25" customHeight="1" x14ac:dyDescent="0.25">
      <c r="A38" s="87">
        <v>3</v>
      </c>
      <c r="B38" s="88" t="s">
        <v>60</v>
      </c>
      <c r="C38" s="89" t="s">
        <v>32</v>
      </c>
      <c r="D38" s="91">
        <v>100</v>
      </c>
      <c r="E38" s="79">
        <v>18420</v>
      </c>
      <c r="F38" s="79">
        <f t="shared" si="0"/>
        <v>1842000</v>
      </c>
      <c r="G38" s="79">
        <f t="shared" si="1"/>
        <v>331560</v>
      </c>
      <c r="H38" s="80">
        <f t="shared" si="2"/>
        <v>2173560</v>
      </c>
      <c r="I38" s="60">
        <f>55.32</f>
        <v>55.32</v>
      </c>
      <c r="J38" s="60">
        <f t="shared" si="3"/>
        <v>44.68</v>
      </c>
      <c r="K38" s="79">
        <f t="shared" si="4"/>
        <v>1018994.4</v>
      </c>
      <c r="L38" s="79">
        <f t="shared" si="5"/>
        <v>183418.992</v>
      </c>
      <c r="M38" s="79">
        <f t="shared" si="6"/>
        <v>101899.44</v>
      </c>
      <c r="N38" s="80">
        <f t="shared" si="7"/>
        <v>1100513.952</v>
      </c>
      <c r="O38" s="80">
        <f t="shared" si="8"/>
        <v>823005.6</v>
      </c>
      <c r="P38" s="60"/>
      <c r="R38" s="70"/>
    </row>
    <row r="39" spans="1:18" ht="71.25" customHeight="1" x14ac:dyDescent="0.25">
      <c r="A39" s="87">
        <v>4</v>
      </c>
      <c r="B39" s="88" t="s">
        <v>61</v>
      </c>
      <c r="C39" s="89" t="s">
        <v>32</v>
      </c>
      <c r="D39" s="91">
        <v>100</v>
      </c>
      <c r="E39" s="79">
        <v>18420</v>
      </c>
      <c r="F39" s="79">
        <f t="shared" si="0"/>
        <v>1842000</v>
      </c>
      <c r="G39" s="79">
        <f t="shared" si="1"/>
        <v>331560</v>
      </c>
      <c r="H39" s="80">
        <f t="shared" si="2"/>
        <v>2173560</v>
      </c>
      <c r="I39" s="60"/>
      <c r="J39" s="60">
        <f t="shared" si="3"/>
        <v>100</v>
      </c>
      <c r="K39" s="79">
        <f t="shared" si="4"/>
        <v>0</v>
      </c>
      <c r="L39" s="79">
        <f t="shared" si="5"/>
        <v>0</v>
      </c>
      <c r="M39" s="79">
        <f t="shared" si="6"/>
        <v>0</v>
      </c>
      <c r="N39" s="80">
        <f t="shared" si="7"/>
        <v>0</v>
      </c>
      <c r="O39" s="80">
        <f t="shared" si="8"/>
        <v>1842000</v>
      </c>
      <c r="P39" s="60"/>
      <c r="R39" s="70"/>
    </row>
    <row r="40" spans="1:18" ht="71.25" customHeight="1" x14ac:dyDescent="0.25">
      <c r="A40" s="87">
        <v>5</v>
      </c>
      <c r="B40" s="88" t="s">
        <v>62</v>
      </c>
      <c r="C40" s="89" t="s">
        <v>32</v>
      </c>
      <c r="D40" s="91">
        <v>100</v>
      </c>
      <c r="E40" s="79">
        <v>18420</v>
      </c>
      <c r="F40" s="79">
        <f t="shared" si="0"/>
        <v>1842000</v>
      </c>
      <c r="G40" s="79">
        <f t="shared" si="1"/>
        <v>331560</v>
      </c>
      <c r="H40" s="80">
        <f t="shared" si="2"/>
        <v>2173560</v>
      </c>
      <c r="I40" s="60"/>
      <c r="J40" s="60">
        <f t="shared" si="3"/>
        <v>100</v>
      </c>
      <c r="K40" s="79">
        <f t="shared" si="4"/>
        <v>0</v>
      </c>
      <c r="L40" s="79">
        <f t="shared" si="5"/>
        <v>0</v>
      </c>
      <c r="M40" s="79">
        <f t="shared" si="6"/>
        <v>0</v>
      </c>
      <c r="N40" s="80">
        <f t="shared" si="7"/>
        <v>0</v>
      </c>
      <c r="O40" s="80">
        <f t="shared" si="8"/>
        <v>1842000</v>
      </c>
      <c r="P40" s="60"/>
      <c r="R40" s="70"/>
    </row>
    <row r="41" spans="1:18" ht="71.25" customHeight="1" x14ac:dyDescent="0.25">
      <c r="A41" s="87">
        <v>6</v>
      </c>
      <c r="B41" s="88" t="s">
        <v>64</v>
      </c>
      <c r="C41" s="89" t="s">
        <v>32</v>
      </c>
      <c r="D41" s="91">
        <v>100</v>
      </c>
      <c r="E41" s="79">
        <v>13160</v>
      </c>
      <c r="F41" s="79">
        <f t="shared" si="0"/>
        <v>1316000</v>
      </c>
      <c r="G41" s="79">
        <f t="shared" si="1"/>
        <v>236880</v>
      </c>
      <c r="H41" s="80">
        <f t="shared" si="2"/>
        <v>1552880</v>
      </c>
      <c r="I41" s="60"/>
      <c r="J41" s="60">
        <f t="shared" si="3"/>
        <v>100</v>
      </c>
      <c r="K41" s="79">
        <f t="shared" si="4"/>
        <v>0</v>
      </c>
      <c r="L41" s="79">
        <f t="shared" si="5"/>
        <v>0</v>
      </c>
      <c r="M41" s="79">
        <f t="shared" si="6"/>
        <v>0</v>
      </c>
      <c r="N41" s="80">
        <f t="shared" si="7"/>
        <v>0</v>
      </c>
      <c r="O41" s="80">
        <f t="shared" si="8"/>
        <v>1316000</v>
      </c>
      <c r="P41" s="60"/>
      <c r="R41" s="70"/>
    </row>
    <row r="42" spans="1:18" ht="71.25" customHeight="1" x14ac:dyDescent="0.25">
      <c r="A42" s="81" t="s">
        <v>65</v>
      </c>
      <c r="B42" s="82" t="s">
        <v>66</v>
      </c>
      <c r="C42" s="83"/>
      <c r="D42" s="84"/>
      <c r="E42" s="90"/>
      <c r="F42" s="79"/>
      <c r="G42" s="79"/>
      <c r="H42" s="80"/>
      <c r="I42" s="60"/>
      <c r="J42" s="60"/>
      <c r="K42" s="79"/>
      <c r="L42" s="79"/>
      <c r="M42" s="79"/>
      <c r="N42" s="80"/>
      <c r="O42" s="80"/>
      <c r="P42" s="60"/>
      <c r="R42" s="70"/>
    </row>
    <row r="43" spans="1:18" ht="71.25" customHeight="1" x14ac:dyDescent="0.25">
      <c r="A43" s="87">
        <v>1</v>
      </c>
      <c r="B43" s="88" t="s">
        <v>67</v>
      </c>
      <c r="C43" s="89" t="s">
        <v>32</v>
      </c>
      <c r="D43" s="91">
        <v>100</v>
      </c>
      <c r="E43" s="79">
        <v>26310</v>
      </c>
      <c r="F43" s="79">
        <f t="shared" si="0"/>
        <v>2631000</v>
      </c>
      <c r="G43" s="79">
        <f t="shared" si="1"/>
        <v>473580</v>
      </c>
      <c r="H43" s="80">
        <f t="shared" si="2"/>
        <v>3104580</v>
      </c>
      <c r="I43" s="60"/>
      <c r="J43" s="60">
        <f t="shared" si="3"/>
        <v>100</v>
      </c>
      <c r="K43" s="79">
        <f t="shared" si="4"/>
        <v>0</v>
      </c>
      <c r="L43" s="79">
        <f t="shared" si="5"/>
        <v>0</v>
      </c>
      <c r="M43" s="79">
        <f t="shared" si="6"/>
        <v>0</v>
      </c>
      <c r="N43" s="80">
        <f t="shared" si="7"/>
        <v>0</v>
      </c>
      <c r="O43" s="80">
        <f t="shared" si="8"/>
        <v>2631000</v>
      </c>
      <c r="P43" s="60"/>
      <c r="R43" s="70"/>
    </row>
    <row r="44" spans="1:18" ht="71.25" customHeight="1" x14ac:dyDescent="0.25">
      <c r="A44" s="87">
        <v>2</v>
      </c>
      <c r="B44" s="88" t="s">
        <v>68</v>
      </c>
      <c r="C44" s="89" t="s">
        <v>32</v>
      </c>
      <c r="D44" s="91">
        <v>100</v>
      </c>
      <c r="E44" s="79">
        <v>26310</v>
      </c>
      <c r="F44" s="79">
        <f t="shared" si="0"/>
        <v>2631000</v>
      </c>
      <c r="G44" s="79">
        <f t="shared" si="1"/>
        <v>473580</v>
      </c>
      <c r="H44" s="80">
        <f t="shared" si="2"/>
        <v>3104580</v>
      </c>
      <c r="I44" s="60"/>
      <c r="J44" s="60">
        <f t="shared" si="3"/>
        <v>100</v>
      </c>
      <c r="K44" s="79">
        <f t="shared" si="4"/>
        <v>0</v>
      </c>
      <c r="L44" s="79">
        <f t="shared" si="5"/>
        <v>0</v>
      </c>
      <c r="M44" s="79">
        <f t="shared" si="6"/>
        <v>0</v>
      </c>
      <c r="N44" s="80">
        <f t="shared" si="7"/>
        <v>0</v>
      </c>
      <c r="O44" s="80">
        <f t="shared" si="8"/>
        <v>2631000</v>
      </c>
      <c r="P44" s="60"/>
      <c r="R44" s="70"/>
    </row>
    <row r="45" spans="1:18" ht="71.25" customHeight="1" x14ac:dyDescent="0.25">
      <c r="A45" s="87">
        <v>3</v>
      </c>
      <c r="B45" s="88" t="s">
        <v>69</v>
      </c>
      <c r="C45" s="89" t="s">
        <v>32</v>
      </c>
      <c r="D45" s="91">
        <v>100</v>
      </c>
      <c r="E45" s="79">
        <v>26310</v>
      </c>
      <c r="F45" s="79">
        <f t="shared" si="0"/>
        <v>2631000</v>
      </c>
      <c r="G45" s="79">
        <f t="shared" si="1"/>
        <v>473580</v>
      </c>
      <c r="H45" s="80">
        <f t="shared" si="2"/>
        <v>3104580</v>
      </c>
      <c r="I45" s="60"/>
      <c r="J45" s="60">
        <f t="shared" si="3"/>
        <v>100</v>
      </c>
      <c r="K45" s="79">
        <f t="shared" si="4"/>
        <v>0</v>
      </c>
      <c r="L45" s="79">
        <f t="shared" si="5"/>
        <v>0</v>
      </c>
      <c r="M45" s="79">
        <f t="shared" si="6"/>
        <v>0</v>
      </c>
      <c r="N45" s="80">
        <f t="shared" si="7"/>
        <v>0</v>
      </c>
      <c r="O45" s="80">
        <f t="shared" si="8"/>
        <v>2631000</v>
      </c>
      <c r="P45" s="60"/>
      <c r="R45" s="70"/>
    </row>
    <row r="46" spans="1:18" ht="71.25" customHeight="1" x14ac:dyDescent="0.25">
      <c r="A46" s="87">
        <v>4</v>
      </c>
      <c r="B46" s="88" t="s">
        <v>70</v>
      </c>
      <c r="C46" s="89" t="s">
        <v>32</v>
      </c>
      <c r="D46" s="91">
        <v>100</v>
      </c>
      <c r="E46" s="79">
        <v>26310</v>
      </c>
      <c r="F46" s="79">
        <f t="shared" si="0"/>
        <v>2631000</v>
      </c>
      <c r="G46" s="79">
        <f t="shared" si="1"/>
        <v>473580</v>
      </c>
      <c r="H46" s="80">
        <f t="shared" si="2"/>
        <v>3104580</v>
      </c>
      <c r="I46" s="60"/>
      <c r="J46" s="60">
        <f t="shared" si="3"/>
        <v>100</v>
      </c>
      <c r="K46" s="79">
        <f t="shared" si="4"/>
        <v>0</v>
      </c>
      <c r="L46" s="79">
        <f t="shared" si="5"/>
        <v>0</v>
      </c>
      <c r="M46" s="79">
        <f t="shared" si="6"/>
        <v>0</v>
      </c>
      <c r="N46" s="80">
        <f t="shared" si="7"/>
        <v>0</v>
      </c>
      <c r="O46" s="80">
        <f t="shared" si="8"/>
        <v>2631000</v>
      </c>
      <c r="P46" s="60"/>
      <c r="R46" s="70"/>
    </row>
    <row r="47" spans="1:18" ht="71.25" customHeight="1" x14ac:dyDescent="0.25">
      <c r="A47" s="87">
        <v>5</v>
      </c>
      <c r="B47" s="88" t="s">
        <v>71</v>
      </c>
      <c r="C47" s="89" t="s">
        <v>32</v>
      </c>
      <c r="D47" s="91">
        <v>100</v>
      </c>
      <c r="E47" s="79">
        <v>26310</v>
      </c>
      <c r="F47" s="79">
        <f t="shared" si="0"/>
        <v>2631000</v>
      </c>
      <c r="G47" s="79">
        <f t="shared" si="1"/>
        <v>473580</v>
      </c>
      <c r="H47" s="80">
        <f t="shared" si="2"/>
        <v>3104580</v>
      </c>
      <c r="I47" s="60">
        <f>30</f>
        <v>30</v>
      </c>
      <c r="J47" s="60">
        <f t="shared" si="3"/>
        <v>70</v>
      </c>
      <c r="K47" s="79">
        <f t="shared" si="4"/>
        <v>789300</v>
      </c>
      <c r="L47" s="79">
        <f t="shared" si="5"/>
        <v>142074</v>
      </c>
      <c r="M47" s="79">
        <f t="shared" si="6"/>
        <v>78930</v>
      </c>
      <c r="N47" s="80">
        <f t="shared" si="7"/>
        <v>852444</v>
      </c>
      <c r="O47" s="80">
        <f t="shared" si="8"/>
        <v>1841700</v>
      </c>
      <c r="P47" s="60"/>
      <c r="R47" s="70"/>
    </row>
    <row r="48" spans="1:18" ht="71.25" customHeight="1" x14ac:dyDescent="0.25">
      <c r="A48" s="87">
        <v>6</v>
      </c>
      <c r="B48" s="88" t="s">
        <v>72</v>
      </c>
      <c r="C48" s="89" t="s">
        <v>32</v>
      </c>
      <c r="D48" s="91">
        <v>100</v>
      </c>
      <c r="E48" s="79">
        <v>26310</v>
      </c>
      <c r="F48" s="79">
        <f t="shared" si="0"/>
        <v>2631000</v>
      </c>
      <c r="G48" s="79">
        <f t="shared" si="1"/>
        <v>473580</v>
      </c>
      <c r="H48" s="80">
        <f t="shared" si="2"/>
        <v>3104580</v>
      </c>
      <c r="I48" s="60"/>
      <c r="J48" s="60">
        <f t="shared" si="3"/>
        <v>100</v>
      </c>
      <c r="K48" s="79">
        <f t="shared" si="4"/>
        <v>0</v>
      </c>
      <c r="L48" s="79">
        <f t="shared" si="5"/>
        <v>0</v>
      </c>
      <c r="M48" s="79">
        <f t="shared" si="6"/>
        <v>0</v>
      </c>
      <c r="N48" s="80">
        <f t="shared" si="7"/>
        <v>0</v>
      </c>
      <c r="O48" s="80">
        <f t="shared" si="8"/>
        <v>2631000</v>
      </c>
      <c r="P48" s="60"/>
      <c r="R48" s="70"/>
    </row>
    <row r="49" spans="1:18" ht="71.25" customHeight="1" x14ac:dyDescent="0.25">
      <c r="A49" s="87">
        <v>7</v>
      </c>
      <c r="B49" s="88" t="s">
        <v>73</v>
      </c>
      <c r="C49" s="89" t="s">
        <v>32</v>
      </c>
      <c r="D49" s="91">
        <v>100</v>
      </c>
      <c r="E49" s="79">
        <v>26310</v>
      </c>
      <c r="F49" s="79">
        <f t="shared" si="0"/>
        <v>2631000</v>
      </c>
      <c r="G49" s="79">
        <f t="shared" si="1"/>
        <v>473580</v>
      </c>
      <c r="H49" s="80">
        <f t="shared" si="2"/>
        <v>3104580</v>
      </c>
      <c r="I49" s="60"/>
      <c r="J49" s="60">
        <f t="shared" si="3"/>
        <v>100</v>
      </c>
      <c r="K49" s="79">
        <f t="shared" si="4"/>
        <v>0</v>
      </c>
      <c r="L49" s="79">
        <f t="shared" si="5"/>
        <v>0</v>
      </c>
      <c r="M49" s="79">
        <f t="shared" si="6"/>
        <v>0</v>
      </c>
      <c r="N49" s="80">
        <f t="shared" si="7"/>
        <v>0</v>
      </c>
      <c r="O49" s="80">
        <f t="shared" si="8"/>
        <v>2631000</v>
      </c>
      <c r="P49" s="60"/>
      <c r="R49" s="70"/>
    </row>
    <row r="50" spans="1:18" ht="71.25" customHeight="1" x14ac:dyDescent="0.25">
      <c r="A50" s="87">
        <v>8</v>
      </c>
      <c r="B50" s="88" t="s">
        <v>74</v>
      </c>
      <c r="C50" s="89" t="s">
        <v>32</v>
      </c>
      <c r="D50" s="91">
        <v>100</v>
      </c>
      <c r="E50" s="79">
        <v>26310</v>
      </c>
      <c r="F50" s="79">
        <f t="shared" si="0"/>
        <v>2631000</v>
      </c>
      <c r="G50" s="79">
        <f t="shared" si="1"/>
        <v>473580</v>
      </c>
      <c r="H50" s="80">
        <f t="shared" si="2"/>
        <v>3104580</v>
      </c>
      <c r="I50" s="60"/>
      <c r="J50" s="60">
        <f t="shared" si="3"/>
        <v>100</v>
      </c>
      <c r="K50" s="79">
        <f t="shared" si="4"/>
        <v>0</v>
      </c>
      <c r="L50" s="79">
        <f t="shared" si="5"/>
        <v>0</v>
      </c>
      <c r="M50" s="79">
        <f t="shared" si="6"/>
        <v>0</v>
      </c>
      <c r="N50" s="80">
        <f t="shared" si="7"/>
        <v>0</v>
      </c>
      <c r="O50" s="80">
        <f t="shared" si="8"/>
        <v>2631000</v>
      </c>
      <c r="P50" s="60"/>
      <c r="R50" s="70"/>
    </row>
    <row r="51" spans="1:18" ht="71.25" customHeight="1" x14ac:dyDescent="0.25">
      <c r="A51" s="87">
        <v>9</v>
      </c>
      <c r="B51" s="88" t="s">
        <v>184</v>
      </c>
      <c r="C51" s="89" t="s">
        <v>32</v>
      </c>
      <c r="D51" s="91">
        <v>100</v>
      </c>
      <c r="E51" s="79">
        <v>18420</v>
      </c>
      <c r="F51" s="79">
        <f t="shared" si="0"/>
        <v>1842000</v>
      </c>
      <c r="G51" s="79">
        <f t="shared" si="1"/>
        <v>331560</v>
      </c>
      <c r="H51" s="80">
        <f t="shared" si="2"/>
        <v>2173560</v>
      </c>
      <c r="I51" s="60">
        <v>30</v>
      </c>
      <c r="J51" s="60">
        <f t="shared" si="3"/>
        <v>70</v>
      </c>
      <c r="K51" s="79">
        <f t="shared" si="4"/>
        <v>552600</v>
      </c>
      <c r="L51" s="79">
        <f t="shared" si="5"/>
        <v>99468</v>
      </c>
      <c r="M51" s="79">
        <f t="shared" si="6"/>
        <v>55260</v>
      </c>
      <c r="N51" s="80">
        <f t="shared" si="7"/>
        <v>596808</v>
      </c>
      <c r="O51" s="80">
        <f t="shared" si="8"/>
        <v>1289400</v>
      </c>
      <c r="P51" s="60"/>
      <c r="R51" s="70"/>
    </row>
    <row r="52" spans="1:18" ht="71.25" customHeight="1" x14ac:dyDescent="0.25">
      <c r="A52" s="87">
        <v>10</v>
      </c>
      <c r="B52" s="88" t="s">
        <v>185</v>
      </c>
      <c r="C52" s="89" t="s">
        <v>32</v>
      </c>
      <c r="D52" s="91">
        <v>100</v>
      </c>
      <c r="E52" s="79">
        <v>7900</v>
      </c>
      <c r="F52" s="79">
        <f t="shared" si="0"/>
        <v>790000</v>
      </c>
      <c r="G52" s="79">
        <f t="shared" si="1"/>
        <v>142200</v>
      </c>
      <c r="H52" s="80">
        <f t="shared" si="2"/>
        <v>932200</v>
      </c>
      <c r="I52" s="60"/>
      <c r="J52" s="60">
        <f t="shared" si="3"/>
        <v>100</v>
      </c>
      <c r="K52" s="79">
        <f t="shared" si="4"/>
        <v>0</v>
      </c>
      <c r="L52" s="79">
        <f t="shared" si="5"/>
        <v>0</v>
      </c>
      <c r="M52" s="79">
        <f t="shared" si="6"/>
        <v>0</v>
      </c>
      <c r="N52" s="80">
        <f t="shared" si="7"/>
        <v>0</v>
      </c>
      <c r="O52" s="80">
        <f t="shared" si="8"/>
        <v>790000</v>
      </c>
      <c r="P52" s="60"/>
      <c r="R52" s="70"/>
    </row>
    <row r="53" spans="1:18" ht="71.25" customHeight="1" x14ac:dyDescent="0.25">
      <c r="A53" s="87">
        <v>11</v>
      </c>
      <c r="B53" s="88" t="s">
        <v>77</v>
      </c>
      <c r="C53" s="89" t="s">
        <v>32</v>
      </c>
      <c r="D53" s="91">
        <v>100</v>
      </c>
      <c r="E53" s="79">
        <v>42100</v>
      </c>
      <c r="F53" s="79">
        <f t="shared" si="0"/>
        <v>4210000</v>
      </c>
      <c r="G53" s="79">
        <f t="shared" si="1"/>
        <v>757800</v>
      </c>
      <c r="H53" s="80">
        <f t="shared" si="2"/>
        <v>4967800</v>
      </c>
      <c r="I53" s="60"/>
      <c r="J53" s="60">
        <f t="shared" si="3"/>
        <v>100</v>
      </c>
      <c r="K53" s="79">
        <f t="shared" si="4"/>
        <v>0</v>
      </c>
      <c r="L53" s="79">
        <f t="shared" si="5"/>
        <v>0</v>
      </c>
      <c r="M53" s="79">
        <f t="shared" si="6"/>
        <v>0</v>
      </c>
      <c r="N53" s="80">
        <f t="shared" si="7"/>
        <v>0</v>
      </c>
      <c r="O53" s="80">
        <f t="shared" si="8"/>
        <v>4210000</v>
      </c>
      <c r="P53" s="60"/>
      <c r="R53" s="70"/>
    </row>
    <row r="54" spans="1:18" ht="71.25" customHeight="1" x14ac:dyDescent="0.25">
      <c r="A54" s="87">
        <v>12</v>
      </c>
      <c r="B54" s="88" t="s">
        <v>78</v>
      </c>
      <c r="C54" s="89" t="s">
        <v>32</v>
      </c>
      <c r="D54" s="91">
        <v>100</v>
      </c>
      <c r="E54" s="79">
        <v>26310</v>
      </c>
      <c r="F54" s="79">
        <f t="shared" si="0"/>
        <v>2631000</v>
      </c>
      <c r="G54" s="79">
        <f t="shared" si="1"/>
        <v>473580</v>
      </c>
      <c r="H54" s="80">
        <f t="shared" si="2"/>
        <v>3104580</v>
      </c>
      <c r="I54" s="60"/>
      <c r="J54" s="60">
        <f t="shared" si="3"/>
        <v>100</v>
      </c>
      <c r="K54" s="79">
        <f t="shared" si="4"/>
        <v>0</v>
      </c>
      <c r="L54" s="79">
        <f t="shared" si="5"/>
        <v>0</v>
      </c>
      <c r="M54" s="79">
        <f t="shared" si="6"/>
        <v>0</v>
      </c>
      <c r="N54" s="80">
        <f t="shared" si="7"/>
        <v>0</v>
      </c>
      <c r="O54" s="80">
        <f t="shared" si="8"/>
        <v>2631000</v>
      </c>
      <c r="P54" s="60"/>
      <c r="R54" s="70"/>
    </row>
    <row r="55" spans="1:18" ht="71.25" customHeight="1" x14ac:dyDescent="0.25">
      <c r="A55" s="87">
        <v>13</v>
      </c>
      <c r="B55" s="88" t="s">
        <v>79</v>
      </c>
      <c r="C55" s="89" t="s">
        <v>32</v>
      </c>
      <c r="D55" s="91">
        <v>100</v>
      </c>
      <c r="E55" s="79">
        <v>7890</v>
      </c>
      <c r="F55" s="79">
        <f t="shared" si="0"/>
        <v>789000</v>
      </c>
      <c r="G55" s="79">
        <f t="shared" si="1"/>
        <v>142020</v>
      </c>
      <c r="H55" s="80">
        <f t="shared" si="2"/>
        <v>931020</v>
      </c>
      <c r="I55" s="60"/>
      <c r="J55" s="60">
        <f t="shared" si="3"/>
        <v>100</v>
      </c>
      <c r="K55" s="79">
        <f t="shared" si="4"/>
        <v>0</v>
      </c>
      <c r="L55" s="79">
        <f t="shared" si="5"/>
        <v>0</v>
      </c>
      <c r="M55" s="79">
        <f t="shared" si="6"/>
        <v>0</v>
      </c>
      <c r="N55" s="80">
        <f t="shared" si="7"/>
        <v>0</v>
      </c>
      <c r="O55" s="80">
        <f t="shared" si="8"/>
        <v>789000</v>
      </c>
      <c r="P55" s="60"/>
      <c r="R55" s="70"/>
    </row>
    <row r="56" spans="1:18" ht="71.25" customHeight="1" x14ac:dyDescent="0.25">
      <c r="A56" s="87">
        <v>14</v>
      </c>
      <c r="B56" s="88" t="s">
        <v>80</v>
      </c>
      <c r="C56" s="89" t="s">
        <v>32</v>
      </c>
      <c r="D56" s="91">
        <v>100</v>
      </c>
      <c r="E56" s="79">
        <v>5260</v>
      </c>
      <c r="F56" s="79">
        <f t="shared" si="0"/>
        <v>526000</v>
      </c>
      <c r="G56" s="79">
        <f t="shared" si="1"/>
        <v>94680</v>
      </c>
      <c r="H56" s="80">
        <f t="shared" si="2"/>
        <v>620680</v>
      </c>
      <c r="I56" s="60"/>
      <c r="J56" s="60">
        <f t="shared" si="3"/>
        <v>100</v>
      </c>
      <c r="K56" s="79">
        <f t="shared" si="4"/>
        <v>0</v>
      </c>
      <c r="L56" s="79">
        <f t="shared" si="5"/>
        <v>0</v>
      </c>
      <c r="M56" s="79">
        <f t="shared" si="6"/>
        <v>0</v>
      </c>
      <c r="N56" s="80">
        <f t="shared" si="7"/>
        <v>0</v>
      </c>
      <c r="O56" s="80">
        <f t="shared" si="8"/>
        <v>526000</v>
      </c>
      <c r="P56" s="60"/>
      <c r="R56" s="70"/>
    </row>
    <row r="57" spans="1:18" ht="71.25" customHeight="1" x14ac:dyDescent="0.25">
      <c r="A57" s="87">
        <v>15</v>
      </c>
      <c r="B57" s="88" t="s">
        <v>81</v>
      </c>
      <c r="C57" s="89" t="s">
        <v>32</v>
      </c>
      <c r="D57" s="91">
        <v>100</v>
      </c>
      <c r="E57" s="79">
        <v>2630</v>
      </c>
      <c r="F57" s="79">
        <f t="shared" si="0"/>
        <v>263000</v>
      </c>
      <c r="G57" s="79">
        <f t="shared" si="1"/>
        <v>47340</v>
      </c>
      <c r="H57" s="80">
        <f t="shared" si="2"/>
        <v>310340</v>
      </c>
      <c r="I57" s="60"/>
      <c r="J57" s="60">
        <f t="shared" si="3"/>
        <v>100</v>
      </c>
      <c r="K57" s="79">
        <f t="shared" si="4"/>
        <v>0</v>
      </c>
      <c r="L57" s="79">
        <f t="shared" si="5"/>
        <v>0</v>
      </c>
      <c r="M57" s="79">
        <f t="shared" si="6"/>
        <v>0</v>
      </c>
      <c r="N57" s="80">
        <f t="shared" si="7"/>
        <v>0</v>
      </c>
      <c r="O57" s="80">
        <f t="shared" si="8"/>
        <v>263000</v>
      </c>
      <c r="P57" s="60"/>
      <c r="R57" s="70"/>
    </row>
    <row r="58" spans="1:18" ht="71.25" customHeight="1" x14ac:dyDescent="0.25">
      <c r="A58" s="87">
        <v>16</v>
      </c>
      <c r="B58" s="88" t="s">
        <v>82</v>
      </c>
      <c r="C58" s="89" t="s">
        <v>32</v>
      </c>
      <c r="D58" s="91">
        <v>100</v>
      </c>
      <c r="E58" s="79">
        <v>39480</v>
      </c>
      <c r="F58" s="79">
        <f t="shared" si="0"/>
        <v>3948000</v>
      </c>
      <c r="G58" s="79">
        <f t="shared" si="1"/>
        <v>710640</v>
      </c>
      <c r="H58" s="80">
        <f t="shared" si="2"/>
        <v>4658640</v>
      </c>
      <c r="I58" s="60">
        <v>80.040000000000006</v>
      </c>
      <c r="J58" s="60">
        <f t="shared" si="3"/>
        <v>19.959999999999994</v>
      </c>
      <c r="K58" s="79">
        <f t="shared" si="4"/>
        <v>3159979.2</v>
      </c>
      <c r="L58" s="79">
        <f t="shared" si="5"/>
        <v>568796.25600000005</v>
      </c>
      <c r="M58" s="79">
        <f t="shared" si="6"/>
        <v>315997.92000000004</v>
      </c>
      <c r="N58" s="80">
        <f t="shared" si="7"/>
        <v>3412777.5360000003</v>
      </c>
      <c r="O58" s="80">
        <f t="shared" si="8"/>
        <v>788020.7999999997</v>
      </c>
      <c r="P58" s="60"/>
      <c r="R58" s="70"/>
    </row>
    <row r="59" spans="1:18" ht="71.25" customHeight="1" x14ac:dyDescent="0.25">
      <c r="A59" s="87">
        <v>17</v>
      </c>
      <c r="B59" s="88" t="s">
        <v>83</v>
      </c>
      <c r="C59" s="89" t="s">
        <v>32</v>
      </c>
      <c r="D59" s="91">
        <v>100</v>
      </c>
      <c r="E59" s="79">
        <v>5260</v>
      </c>
      <c r="F59" s="79">
        <f t="shared" si="0"/>
        <v>526000</v>
      </c>
      <c r="G59" s="79">
        <f t="shared" si="1"/>
        <v>94680</v>
      </c>
      <c r="H59" s="80">
        <f t="shared" si="2"/>
        <v>620680</v>
      </c>
      <c r="I59" s="60"/>
      <c r="J59" s="60">
        <f t="shared" si="3"/>
        <v>100</v>
      </c>
      <c r="K59" s="79">
        <f t="shared" si="4"/>
        <v>0</v>
      </c>
      <c r="L59" s="79">
        <f t="shared" si="5"/>
        <v>0</v>
      </c>
      <c r="M59" s="79">
        <f t="shared" si="6"/>
        <v>0</v>
      </c>
      <c r="N59" s="80">
        <f t="shared" si="7"/>
        <v>0</v>
      </c>
      <c r="O59" s="80">
        <f t="shared" si="8"/>
        <v>526000</v>
      </c>
      <c r="P59" s="60"/>
      <c r="R59" s="70"/>
    </row>
    <row r="60" spans="1:18" ht="71.25" customHeight="1" x14ac:dyDescent="0.25">
      <c r="A60" s="87">
        <v>18</v>
      </c>
      <c r="B60" s="88" t="s">
        <v>84</v>
      </c>
      <c r="C60" s="89" t="s">
        <v>32</v>
      </c>
      <c r="D60" s="91">
        <v>100</v>
      </c>
      <c r="E60" s="79">
        <v>7890</v>
      </c>
      <c r="F60" s="79">
        <f t="shared" si="0"/>
        <v>789000</v>
      </c>
      <c r="G60" s="79">
        <f t="shared" si="1"/>
        <v>142020</v>
      </c>
      <c r="H60" s="80">
        <f t="shared" si="2"/>
        <v>931020</v>
      </c>
      <c r="I60" s="60"/>
      <c r="J60" s="60">
        <f t="shared" si="3"/>
        <v>100</v>
      </c>
      <c r="K60" s="79">
        <f t="shared" si="4"/>
        <v>0</v>
      </c>
      <c r="L60" s="79">
        <f t="shared" si="5"/>
        <v>0</v>
      </c>
      <c r="M60" s="79">
        <f t="shared" si="6"/>
        <v>0</v>
      </c>
      <c r="N60" s="80">
        <f t="shared" si="7"/>
        <v>0</v>
      </c>
      <c r="O60" s="80">
        <f t="shared" si="8"/>
        <v>789000</v>
      </c>
      <c r="P60" s="60"/>
      <c r="R60" s="70"/>
    </row>
    <row r="61" spans="1:18" ht="71.25" customHeight="1" x14ac:dyDescent="0.25">
      <c r="A61" s="87">
        <v>19</v>
      </c>
      <c r="B61" s="88" t="s">
        <v>85</v>
      </c>
      <c r="C61" s="89" t="s">
        <v>32</v>
      </c>
      <c r="D61" s="91">
        <v>100</v>
      </c>
      <c r="E61" s="79">
        <v>21050</v>
      </c>
      <c r="F61" s="79">
        <f t="shared" si="0"/>
        <v>2105000</v>
      </c>
      <c r="G61" s="79">
        <f t="shared" si="1"/>
        <v>378900</v>
      </c>
      <c r="H61" s="80">
        <f t="shared" si="2"/>
        <v>2483900</v>
      </c>
      <c r="I61" s="60">
        <v>100</v>
      </c>
      <c r="J61" s="60">
        <f t="shared" si="3"/>
        <v>0</v>
      </c>
      <c r="K61" s="79">
        <f t="shared" si="4"/>
        <v>2105000</v>
      </c>
      <c r="L61" s="79">
        <f t="shared" si="5"/>
        <v>378900</v>
      </c>
      <c r="M61" s="79">
        <f t="shared" si="6"/>
        <v>210500</v>
      </c>
      <c r="N61" s="80">
        <f t="shared" si="7"/>
        <v>2273400</v>
      </c>
      <c r="O61" s="80">
        <f t="shared" si="8"/>
        <v>0</v>
      </c>
      <c r="P61" s="60"/>
      <c r="R61" s="70"/>
    </row>
    <row r="62" spans="1:18" ht="71.25" customHeight="1" x14ac:dyDescent="0.25">
      <c r="A62" s="81" t="s">
        <v>86</v>
      </c>
      <c r="B62" s="82" t="s">
        <v>87</v>
      </c>
      <c r="C62" s="83"/>
      <c r="D62" s="84"/>
      <c r="E62" s="85"/>
      <c r="F62" s="86"/>
      <c r="G62" s="79"/>
      <c r="H62" s="80"/>
      <c r="I62" s="60"/>
      <c r="J62" s="60"/>
      <c r="K62" s="79"/>
      <c r="L62" s="79"/>
      <c r="M62" s="79"/>
      <c r="N62" s="80"/>
      <c r="O62" s="80"/>
      <c r="P62" s="60"/>
      <c r="R62" s="70"/>
    </row>
    <row r="63" spans="1:18" ht="71.25" customHeight="1" x14ac:dyDescent="0.25">
      <c r="A63" s="87">
        <v>1</v>
      </c>
      <c r="B63" s="88" t="s">
        <v>88</v>
      </c>
      <c r="C63" s="89" t="s">
        <v>32</v>
      </c>
      <c r="D63" s="91">
        <v>100</v>
      </c>
      <c r="E63" s="79">
        <v>52655</v>
      </c>
      <c r="F63" s="79">
        <f t="shared" si="0"/>
        <v>5265500</v>
      </c>
      <c r="G63" s="79">
        <f t="shared" si="1"/>
        <v>947790</v>
      </c>
      <c r="H63" s="80">
        <f t="shared" si="2"/>
        <v>6213290</v>
      </c>
      <c r="I63" s="60">
        <v>100</v>
      </c>
      <c r="J63" s="60">
        <f t="shared" si="3"/>
        <v>0</v>
      </c>
      <c r="K63" s="79">
        <f t="shared" si="4"/>
        <v>5265500</v>
      </c>
      <c r="L63" s="79">
        <f t="shared" si="5"/>
        <v>947790</v>
      </c>
      <c r="M63" s="79">
        <f t="shared" si="6"/>
        <v>526550</v>
      </c>
      <c r="N63" s="80">
        <f t="shared" si="7"/>
        <v>5686740</v>
      </c>
      <c r="O63" s="80">
        <f t="shared" si="8"/>
        <v>0</v>
      </c>
      <c r="P63" s="60"/>
      <c r="R63" s="70"/>
    </row>
    <row r="64" spans="1:18" ht="71.25" customHeight="1" x14ac:dyDescent="0.25">
      <c r="A64" s="87">
        <v>2</v>
      </c>
      <c r="B64" s="88" t="s">
        <v>89</v>
      </c>
      <c r="C64" s="89" t="s">
        <v>32</v>
      </c>
      <c r="D64" s="91">
        <v>100</v>
      </c>
      <c r="E64" s="79">
        <v>52620</v>
      </c>
      <c r="F64" s="79">
        <f t="shared" si="0"/>
        <v>5262000</v>
      </c>
      <c r="G64" s="79">
        <f t="shared" si="1"/>
        <v>947160</v>
      </c>
      <c r="H64" s="80">
        <f t="shared" si="2"/>
        <v>6209160</v>
      </c>
      <c r="I64" s="60">
        <f>27.08+50.09+22.83</f>
        <v>100</v>
      </c>
      <c r="J64" s="60">
        <f t="shared" si="3"/>
        <v>0</v>
      </c>
      <c r="K64" s="79">
        <f t="shared" si="4"/>
        <v>5262000</v>
      </c>
      <c r="L64" s="79">
        <f t="shared" si="5"/>
        <v>947160</v>
      </c>
      <c r="M64" s="79">
        <f t="shared" si="6"/>
        <v>526200</v>
      </c>
      <c r="N64" s="80">
        <f t="shared" si="7"/>
        <v>5682960</v>
      </c>
      <c r="O64" s="80">
        <f t="shared" si="8"/>
        <v>0</v>
      </c>
      <c r="P64" s="60"/>
      <c r="R64" s="70"/>
    </row>
    <row r="65" spans="1:18" ht="71.25" customHeight="1" x14ac:dyDescent="0.25">
      <c r="A65" s="87">
        <v>3</v>
      </c>
      <c r="B65" s="88" t="s">
        <v>90</v>
      </c>
      <c r="C65" s="89" t="s">
        <v>32</v>
      </c>
      <c r="D65" s="91">
        <v>100</v>
      </c>
      <c r="E65" s="79">
        <v>52655</v>
      </c>
      <c r="F65" s="79">
        <f t="shared" si="0"/>
        <v>5265500</v>
      </c>
      <c r="G65" s="79">
        <f t="shared" si="1"/>
        <v>947790</v>
      </c>
      <c r="H65" s="80">
        <f t="shared" si="2"/>
        <v>6213290</v>
      </c>
      <c r="I65" s="60">
        <f>48+31.64+10.47</f>
        <v>90.11</v>
      </c>
      <c r="J65" s="60">
        <f t="shared" si="3"/>
        <v>9.89</v>
      </c>
      <c r="K65" s="79">
        <f t="shared" si="4"/>
        <v>4744742.05</v>
      </c>
      <c r="L65" s="79">
        <f t="shared" si="5"/>
        <v>854053.5689999999</v>
      </c>
      <c r="M65" s="79">
        <f t="shared" si="6"/>
        <v>474474.20500000002</v>
      </c>
      <c r="N65" s="80">
        <f t="shared" si="7"/>
        <v>5124321.4139999999</v>
      </c>
      <c r="O65" s="80">
        <f t="shared" si="8"/>
        <v>520757.95</v>
      </c>
      <c r="P65" s="60"/>
      <c r="R65" s="70"/>
    </row>
    <row r="66" spans="1:18" ht="71.25" customHeight="1" x14ac:dyDescent="0.25">
      <c r="A66" s="87">
        <v>4</v>
      </c>
      <c r="B66" s="88" t="s">
        <v>91</v>
      </c>
      <c r="C66" s="89" t="s">
        <v>32</v>
      </c>
      <c r="D66" s="91">
        <v>100</v>
      </c>
      <c r="E66" s="79">
        <v>31580</v>
      </c>
      <c r="F66" s="79">
        <f t="shared" si="0"/>
        <v>3158000</v>
      </c>
      <c r="G66" s="79">
        <f t="shared" si="1"/>
        <v>568440</v>
      </c>
      <c r="H66" s="80">
        <f t="shared" si="2"/>
        <v>3726440</v>
      </c>
      <c r="I66" s="60"/>
      <c r="J66" s="60">
        <f t="shared" si="3"/>
        <v>100</v>
      </c>
      <c r="K66" s="79">
        <f t="shared" si="4"/>
        <v>0</v>
      </c>
      <c r="L66" s="79">
        <f t="shared" si="5"/>
        <v>0</v>
      </c>
      <c r="M66" s="79">
        <f t="shared" si="6"/>
        <v>0</v>
      </c>
      <c r="N66" s="80">
        <f t="shared" si="7"/>
        <v>0</v>
      </c>
      <c r="O66" s="80">
        <f t="shared" si="8"/>
        <v>3158000</v>
      </c>
      <c r="P66" s="60"/>
      <c r="R66" s="70"/>
    </row>
    <row r="67" spans="1:18" ht="71.25" customHeight="1" x14ac:dyDescent="0.25">
      <c r="A67" s="87">
        <v>5</v>
      </c>
      <c r="B67" s="88" t="s">
        <v>92</v>
      </c>
      <c r="C67" s="89" t="s">
        <v>32</v>
      </c>
      <c r="D67" s="91">
        <v>100</v>
      </c>
      <c r="E67" s="79">
        <v>39500</v>
      </c>
      <c r="F67" s="79">
        <f t="shared" si="0"/>
        <v>3950000</v>
      </c>
      <c r="G67" s="79">
        <f t="shared" si="1"/>
        <v>711000</v>
      </c>
      <c r="H67" s="80">
        <f t="shared" si="2"/>
        <v>4661000</v>
      </c>
      <c r="I67" s="60"/>
      <c r="J67" s="60">
        <f t="shared" si="3"/>
        <v>100</v>
      </c>
      <c r="K67" s="79">
        <f t="shared" si="4"/>
        <v>0</v>
      </c>
      <c r="L67" s="79">
        <f t="shared" si="5"/>
        <v>0</v>
      </c>
      <c r="M67" s="79">
        <f t="shared" si="6"/>
        <v>0</v>
      </c>
      <c r="N67" s="80">
        <f t="shared" si="7"/>
        <v>0</v>
      </c>
      <c r="O67" s="80">
        <f t="shared" si="8"/>
        <v>3950000</v>
      </c>
      <c r="P67" s="60"/>
      <c r="R67" s="70"/>
    </row>
    <row r="68" spans="1:18" ht="71.25" customHeight="1" x14ac:dyDescent="0.25">
      <c r="A68" s="87">
        <v>6</v>
      </c>
      <c r="B68" s="88" t="s">
        <v>93</v>
      </c>
      <c r="C68" s="89" t="s">
        <v>32</v>
      </c>
      <c r="D68" s="91">
        <v>100</v>
      </c>
      <c r="E68" s="79">
        <v>7890</v>
      </c>
      <c r="F68" s="79">
        <f t="shared" si="0"/>
        <v>789000</v>
      </c>
      <c r="G68" s="79">
        <f t="shared" si="1"/>
        <v>142020</v>
      </c>
      <c r="H68" s="80">
        <f t="shared" si="2"/>
        <v>931020</v>
      </c>
      <c r="I68" s="60"/>
      <c r="J68" s="60">
        <f t="shared" si="3"/>
        <v>100</v>
      </c>
      <c r="K68" s="79">
        <f t="shared" si="4"/>
        <v>0</v>
      </c>
      <c r="L68" s="79">
        <f t="shared" si="5"/>
        <v>0</v>
      </c>
      <c r="M68" s="79">
        <f t="shared" si="6"/>
        <v>0</v>
      </c>
      <c r="N68" s="80">
        <f t="shared" si="7"/>
        <v>0</v>
      </c>
      <c r="O68" s="80">
        <f t="shared" si="8"/>
        <v>789000</v>
      </c>
      <c r="P68" s="60"/>
      <c r="R68" s="70"/>
    </row>
    <row r="69" spans="1:18" ht="71.25" customHeight="1" x14ac:dyDescent="0.25">
      <c r="A69" s="87">
        <v>7</v>
      </c>
      <c r="B69" s="88" t="s">
        <v>94</v>
      </c>
      <c r="C69" s="89" t="s">
        <v>32</v>
      </c>
      <c r="D69" s="91">
        <v>100</v>
      </c>
      <c r="E69" s="79">
        <v>13160</v>
      </c>
      <c r="F69" s="79">
        <f t="shared" si="0"/>
        <v>1316000</v>
      </c>
      <c r="G69" s="79">
        <f t="shared" si="1"/>
        <v>236880</v>
      </c>
      <c r="H69" s="80">
        <f t="shared" si="2"/>
        <v>1552880</v>
      </c>
      <c r="I69" s="60"/>
      <c r="J69" s="60">
        <f t="shared" si="3"/>
        <v>100</v>
      </c>
      <c r="K69" s="79">
        <f t="shared" si="4"/>
        <v>0</v>
      </c>
      <c r="L69" s="79">
        <f t="shared" si="5"/>
        <v>0</v>
      </c>
      <c r="M69" s="79">
        <f t="shared" si="6"/>
        <v>0</v>
      </c>
      <c r="N69" s="80">
        <f t="shared" si="7"/>
        <v>0</v>
      </c>
      <c r="O69" s="80">
        <f t="shared" si="8"/>
        <v>1316000</v>
      </c>
      <c r="P69" s="60"/>
      <c r="R69" s="70"/>
    </row>
    <row r="70" spans="1:18" ht="71.25" customHeight="1" x14ac:dyDescent="0.25">
      <c r="A70" s="87">
        <v>8</v>
      </c>
      <c r="B70" s="88" t="s">
        <v>95</v>
      </c>
      <c r="C70" s="89" t="s">
        <v>32</v>
      </c>
      <c r="D70" s="91">
        <v>100</v>
      </c>
      <c r="E70" s="79">
        <v>26310</v>
      </c>
      <c r="F70" s="79">
        <f t="shared" si="0"/>
        <v>2631000</v>
      </c>
      <c r="G70" s="79">
        <f t="shared" si="1"/>
        <v>473580</v>
      </c>
      <c r="H70" s="80">
        <f t="shared" si="2"/>
        <v>3104580</v>
      </c>
      <c r="I70" s="60"/>
      <c r="J70" s="60">
        <f t="shared" si="3"/>
        <v>100</v>
      </c>
      <c r="K70" s="79">
        <f t="shared" si="4"/>
        <v>0</v>
      </c>
      <c r="L70" s="79">
        <f t="shared" si="5"/>
        <v>0</v>
      </c>
      <c r="M70" s="79">
        <f t="shared" si="6"/>
        <v>0</v>
      </c>
      <c r="N70" s="80">
        <f t="shared" si="7"/>
        <v>0</v>
      </c>
      <c r="O70" s="80">
        <f t="shared" si="8"/>
        <v>2631000</v>
      </c>
      <c r="P70" s="60"/>
      <c r="R70" s="70"/>
    </row>
    <row r="71" spans="1:18" ht="71.25" customHeight="1" x14ac:dyDescent="0.25">
      <c r="A71" s="87">
        <v>9</v>
      </c>
      <c r="B71" s="88" t="s">
        <v>96</v>
      </c>
      <c r="C71" s="89" t="s">
        <v>32</v>
      </c>
      <c r="D71" s="91">
        <v>100</v>
      </c>
      <c r="E71" s="79">
        <v>13160</v>
      </c>
      <c r="F71" s="79">
        <f t="shared" si="0"/>
        <v>1316000</v>
      </c>
      <c r="G71" s="79">
        <f t="shared" si="1"/>
        <v>236880</v>
      </c>
      <c r="H71" s="80">
        <f t="shared" si="2"/>
        <v>1552880</v>
      </c>
      <c r="I71" s="60"/>
      <c r="J71" s="60">
        <f t="shared" si="3"/>
        <v>100</v>
      </c>
      <c r="K71" s="79">
        <f t="shared" si="4"/>
        <v>0</v>
      </c>
      <c r="L71" s="79">
        <f t="shared" si="5"/>
        <v>0</v>
      </c>
      <c r="M71" s="79">
        <f t="shared" si="6"/>
        <v>0</v>
      </c>
      <c r="N71" s="80">
        <f t="shared" si="7"/>
        <v>0</v>
      </c>
      <c r="O71" s="80">
        <f t="shared" si="8"/>
        <v>1316000</v>
      </c>
      <c r="P71" s="60"/>
      <c r="R71" s="70"/>
    </row>
    <row r="72" spans="1:18" ht="71.25" customHeight="1" x14ac:dyDescent="0.25">
      <c r="A72" s="87">
        <v>10</v>
      </c>
      <c r="B72" s="88" t="s">
        <v>97</v>
      </c>
      <c r="C72" s="89" t="s">
        <v>32</v>
      </c>
      <c r="D72" s="91">
        <v>100</v>
      </c>
      <c r="E72" s="79">
        <v>13160</v>
      </c>
      <c r="F72" s="79">
        <f t="shared" si="0"/>
        <v>1316000</v>
      </c>
      <c r="G72" s="79">
        <f t="shared" si="1"/>
        <v>236880</v>
      </c>
      <c r="H72" s="80">
        <f t="shared" si="2"/>
        <v>1552880</v>
      </c>
      <c r="I72" s="60"/>
      <c r="J72" s="60">
        <f t="shared" si="3"/>
        <v>100</v>
      </c>
      <c r="K72" s="79">
        <f t="shared" si="4"/>
        <v>0</v>
      </c>
      <c r="L72" s="79">
        <f t="shared" si="5"/>
        <v>0</v>
      </c>
      <c r="M72" s="79">
        <f t="shared" si="6"/>
        <v>0</v>
      </c>
      <c r="N72" s="80">
        <f t="shared" si="7"/>
        <v>0</v>
      </c>
      <c r="O72" s="80">
        <f t="shared" si="8"/>
        <v>1316000</v>
      </c>
      <c r="P72" s="60"/>
      <c r="R72" s="70"/>
    </row>
    <row r="73" spans="1:18" ht="71.25" customHeight="1" x14ac:dyDescent="0.25">
      <c r="A73" s="87">
        <v>11</v>
      </c>
      <c r="B73" s="88" t="s">
        <v>98</v>
      </c>
      <c r="C73" s="89" t="s">
        <v>32</v>
      </c>
      <c r="D73" s="91">
        <v>100</v>
      </c>
      <c r="E73" s="79">
        <v>26345</v>
      </c>
      <c r="F73" s="79">
        <f t="shared" si="0"/>
        <v>2634500</v>
      </c>
      <c r="G73" s="79">
        <f t="shared" si="1"/>
        <v>474210</v>
      </c>
      <c r="H73" s="80">
        <f t="shared" si="2"/>
        <v>3108710</v>
      </c>
      <c r="I73" s="60"/>
      <c r="J73" s="60">
        <f t="shared" si="3"/>
        <v>100</v>
      </c>
      <c r="K73" s="79">
        <f t="shared" si="4"/>
        <v>0</v>
      </c>
      <c r="L73" s="79">
        <f t="shared" si="5"/>
        <v>0</v>
      </c>
      <c r="M73" s="79">
        <f t="shared" si="6"/>
        <v>0</v>
      </c>
      <c r="N73" s="80">
        <f t="shared" si="7"/>
        <v>0</v>
      </c>
      <c r="O73" s="80">
        <f t="shared" si="8"/>
        <v>2634500</v>
      </c>
      <c r="P73" s="60"/>
      <c r="R73" s="70"/>
    </row>
    <row r="74" spans="1:18" ht="71.25" customHeight="1" x14ac:dyDescent="0.25">
      <c r="A74" s="87">
        <v>12</v>
      </c>
      <c r="B74" s="88" t="s">
        <v>99</v>
      </c>
      <c r="C74" s="89" t="s">
        <v>32</v>
      </c>
      <c r="D74" s="91">
        <v>100</v>
      </c>
      <c r="E74" s="79">
        <v>13160</v>
      </c>
      <c r="F74" s="79">
        <f t="shared" si="0"/>
        <v>1316000</v>
      </c>
      <c r="G74" s="79">
        <f t="shared" si="1"/>
        <v>236880</v>
      </c>
      <c r="H74" s="80">
        <f t="shared" si="2"/>
        <v>1552880</v>
      </c>
      <c r="I74" s="60"/>
      <c r="J74" s="60">
        <f t="shared" si="3"/>
        <v>100</v>
      </c>
      <c r="K74" s="79">
        <f t="shared" si="4"/>
        <v>0</v>
      </c>
      <c r="L74" s="79">
        <f t="shared" si="5"/>
        <v>0</v>
      </c>
      <c r="M74" s="79">
        <f t="shared" si="6"/>
        <v>0</v>
      </c>
      <c r="N74" s="80">
        <f t="shared" si="7"/>
        <v>0</v>
      </c>
      <c r="O74" s="80">
        <f t="shared" si="8"/>
        <v>1316000</v>
      </c>
      <c r="P74" s="60"/>
      <c r="R74" s="70"/>
    </row>
    <row r="75" spans="1:18" ht="71.25" customHeight="1" x14ac:dyDescent="0.25">
      <c r="A75" s="87">
        <v>13</v>
      </c>
      <c r="B75" s="88" t="s">
        <v>100</v>
      </c>
      <c r="C75" s="89" t="s">
        <v>32</v>
      </c>
      <c r="D75" s="91">
        <v>100</v>
      </c>
      <c r="E75" s="79">
        <v>26310</v>
      </c>
      <c r="F75" s="79">
        <f t="shared" si="0"/>
        <v>2631000</v>
      </c>
      <c r="G75" s="79">
        <f t="shared" si="1"/>
        <v>473580</v>
      </c>
      <c r="H75" s="80">
        <f t="shared" si="2"/>
        <v>3104580</v>
      </c>
      <c r="I75" s="60"/>
      <c r="J75" s="60">
        <f t="shared" si="3"/>
        <v>100</v>
      </c>
      <c r="K75" s="79">
        <f t="shared" si="4"/>
        <v>0</v>
      </c>
      <c r="L75" s="79">
        <f t="shared" si="5"/>
        <v>0</v>
      </c>
      <c r="M75" s="79">
        <f t="shared" si="6"/>
        <v>0</v>
      </c>
      <c r="N75" s="80">
        <f t="shared" ref="N75:N136" si="9">SUM(K75:L75)-M75</f>
        <v>0</v>
      </c>
      <c r="O75" s="80">
        <f t="shared" si="8"/>
        <v>2631000</v>
      </c>
      <c r="P75" s="60"/>
      <c r="R75" s="70"/>
    </row>
    <row r="76" spans="1:18" ht="71.25" customHeight="1" x14ac:dyDescent="0.25">
      <c r="A76" s="87">
        <v>14</v>
      </c>
      <c r="B76" s="88" t="s">
        <v>101</v>
      </c>
      <c r="C76" s="89" t="s">
        <v>32</v>
      </c>
      <c r="D76" s="91">
        <v>100</v>
      </c>
      <c r="E76" s="79">
        <v>13160</v>
      </c>
      <c r="F76" s="79">
        <f t="shared" si="0"/>
        <v>1316000</v>
      </c>
      <c r="G76" s="79">
        <f t="shared" si="1"/>
        <v>236880</v>
      </c>
      <c r="H76" s="80">
        <f t="shared" si="2"/>
        <v>1552880</v>
      </c>
      <c r="I76" s="60"/>
      <c r="J76" s="60">
        <f t="shared" si="3"/>
        <v>100</v>
      </c>
      <c r="K76" s="79">
        <f t="shared" si="4"/>
        <v>0</v>
      </c>
      <c r="L76" s="79">
        <f t="shared" si="5"/>
        <v>0</v>
      </c>
      <c r="M76" s="79">
        <f t="shared" si="6"/>
        <v>0</v>
      </c>
      <c r="N76" s="80">
        <f t="shared" si="9"/>
        <v>0</v>
      </c>
      <c r="O76" s="80">
        <f t="shared" si="8"/>
        <v>1316000</v>
      </c>
      <c r="P76" s="60"/>
      <c r="R76" s="70"/>
    </row>
    <row r="77" spans="1:18" ht="71.25" customHeight="1" x14ac:dyDescent="0.25">
      <c r="A77" s="87">
        <v>15</v>
      </c>
      <c r="B77" s="88" t="s">
        <v>102</v>
      </c>
      <c r="C77" s="89" t="s">
        <v>32</v>
      </c>
      <c r="D77" s="91">
        <v>100</v>
      </c>
      <c r="E77" s="79">
        <v>26310</v>
      </c>
      <c r="F77" s="79">
        <f t="shared" si="0"/>
        <v>2631000</v>
      </c>
      <c r="G77" s="79">
        <f t="shared" si="1"/>
        <v>473580</v>
      </c>
      <c r="H77" s="80">
        <f t="shared" si="2"/>
        <v>3104580</v>
      </c>
      <c r="I77" s="60"/>
      <c r="J77" s="60">
        <f t="shared" si="3"/>
        <v>100</v>
      </c>
      <c r="K77" s="79">
        <f t="shared" si="4"/>
        <v>0</v>
      </c>
      <c r="L77" s="79">
        <f t="shared" si="5"/>
        <v>0</v>
      </c>
      <c r="M77" s="79">
        <f t="shared" si="6"/>
        <v>0</v>
      </c>
      <c r="N77" s="80">
        <f t="shared" si="9"/>
        <v>0</v>
      </c>
      <c r="O77" s="80">
        <f t="shared" si="8"/>
        <v>2631000</v>
      </c>
      <c r="P77" s="60"/>
      <c r="R77" s="70"/>
    </row>
    <row r="78" spans="1:18" ht="71.25" customHeight="1" x14ac:dyDescent="0.25">
      <c r="A78" s="87">
        <v>16</v>
      </c>
      <c r="B78" s="88" t="s">
        <v>103</v>
      </c>
      <c r="C78" s="89" t="s">
        <v>32</v>
      </c>
      <c r="D78" s="91">
        <v>100</v>
      </c>
      <c r="E78" s="79">
        <v>13160</v>
      </c>
      <c r="F78" s="79">
        <f t="shared" si="0"/>
        <v>1316000</v>
      </c>
      <c r="G78" s="79">
        <f t="shared" si="1"/>
        <v>236880</v>
      </c>
      <c r="H78" s="80">
        <f t="shared" si="2"/>
        <v>1552880</v>
      </c>
      <c r="I78" s="60"/>
      <c r="J78" s="60">
        <f t="shared" si="3"/>
        <v>100</v>
      </c>
      <c r="K78" s="79">
        <f t="shared" si="4"/>
        <v>0</v>
      </c>
      <c r="L78" s="79">
        <f t="shared" si="5"/>
        <v>0</v>
      </c>
      <c r="M78" s="79">
        <f t="shared" si="6"/>
        <v>0</v>
      </c>
      <c r="N78" s="80">
        <f t="shared" si="9"/>
        <v>0</v>
      </c>
      <c r="O78" s="80">
        <f t="shared" si="8"/>
        <v>1316000</v>
      </c>
      <c r="P78" s="60"/>
      <c r="R78" s="70"/>
    </row>
    <row r="79" spans="1:18" ht="71.25" customHeight="1" x14ac:dyDescent="0.25">
      <c r="A79" s="87">
        <v>17</v>
      </c>
      <c r="B79" s="88" t="s">
        <v>104</v>
      </c>
      <c r="C79" s="89" t="s">
        <v>32</v>
      </c>
      <c r="D79" s="91">
        <v>100</v>
      </c>
      <c r="E79" s="79">
        <v>26310</v>
      </c>
      <c r="F79" s="79">
        <f t="shared" si="0"/>
        <v>2631000</v>
      </c>
      <c r="G79" s="79">
        <f t="shared" si="1"/>
        <v>473580</v>
      </c>
      <c r="H79" s="80">
        <f t="shared" si="2"/>
        <v>3104580</v>
      </c>
      <c r="I79" s="60"/>
      <c r="J79" s="60">
        <f t="shared" si="3"/>
        <v>100</v>
      </c>
      <c r="K79" s="79">
        <f t="shared" si="4"/>
        <v>0</v>
      </c>
      <c r="L79" s="79">
        <f t="shared" si="5"/>
        <v>0</v>
      </c>
      <c r="M79" s="79">
        <f t="shared" si="6"/>
        <v>0</v>
      </c>
      <c r="N79" s="80">
        <f t="shared" si="9"/>
        <v>0</v>
      </c>
      <c r="O79" s="80">
        <f t="shared" si="8"/>
        <v>2631000</v>
      </c>
      <c r="P79" s="60"/>
      <c r="R79" s="70"/>
    </row>
    <row r="80" spans="1:18" ht="71.25" customHeight="1" x14ac:dyDescent="0.25">
      <c r="A80" s="87">
        <v>18</v>
      </c>
      <c r="B80" s="88" t="s">
        <v>105</v>
      </c>
      <c r="C80" s="89" t="s">
        <v>32</v>
      </c>
      <c r="D80" s="91">
        <v>100</v>
      </c>
      <c r="E80" s="79">
        <v>13155</v>
      </c>
      <c r="F80" s="79">
        <f t="shared" ref="F80:F137" si="10">D80*E80</f>
        <v>1315500</v>
      </c>
      <c r="G80" s="79">
        <f t="shared" ref="G80:G141" si="11">F80*18%</f>
        <v>236790</v>
      </c>
      <c r="H80" s="80">
        <f t="shared" ref="H80:H141" si="12">F80+G80</f>
        <v>1552290</v>
      </c>
      <c r="I80" s="60"/>
      <c r="J80" s="60">
        <f t="shared" ref="J80:J141" si="13">D80-I80</f>
        <v>100</v>
      </c>
      <c r="K80" s="79">
        <f t="shared" ref="K80:K141" si="14">I80*E80</f>
        <v>0</v>
      </c>
      <c r="L80" s="79">
        <f t="shared" ref="L80:L136" si="15">K80*18%</f>
        <v>0</v>
      </c>
      <c r="M80" s="79">
        <f t="shared" ref="M80:M141" si="16">K80*10%</f>
        <v>0</v>
      </c>
      <c r="N80" s="80">
        <f t="shared" si="9"/>
        <v>0</v>
      </c>
      <c r="O80" s="80">
        <f t="shared" ref="O80:O141" si="17">J80*E80</f>
        <v>1315500</v>
      </c>
      <c r="P80" s="60"/>
      <c r="R80" s="70"/>
    </row>
    <row r="81" spans="1:18" ht="71.25" customHeight="1" x14ac:dyDescent="0.25">
      <c r="A81" s="87">
        <v>19</v>
      </c>
      <c r="B81" s="88" t="s">
        <v>106</v>
      </c>
      <c r="C81" s="89" t="s">
        <v>32</v>
      </c>
      <c r="D81" s="91">
        <v>100</v>
      </c>
      <c r="E81" s="79">
        <v>13155</v>
      </c>
      <c r="F81" s="79">
        <f t="shared" si="10"/>
        <v>1315500</v>
      </c>
      <c r="G81" s="79">
        <f t="shared" si="11"/>
        <v>236790</v>
      </c>
      <c r="H81" s="80">
        <f t="shared" si="12"/>
        <v>1552290</v>
      </c>
      <c r="I81" s="60"/>
      <c r="J81" s="60">
        <f t="shared" si="13"/>
        <v>100</v>
      </c>
      <c r="K81" s="79">
        <f t="shared" si="14"/>
        <v>0</v>
      </c>
      <c r="L81" s="79">
        <f t="shared" si="15"/>
        <v>0</v>
      </c>
      <c r="M81" s="79">
        <f t="shared" si="16"/>
        <v>0</v>
      </c>
      <c r="N81" s="80">
        <f t="shared" si="9"/>
        <v>0</v>
      </c>
      <c r="O81" s="80">
        <f t="shared" si="17"/>
        <v>1315500</v>
      </c>
      <c r="P81" s="60"/>
      <c r="R81" s="70"/>
    </row>
    <row r="82" spans="1:18" ht="71.25" customHeight="1" x14ac:dyDescent="0.25">
      <c r="A82" s="87">
        <v>20</v>
      </c>
      <c r="B82" s="88" t="s">
        <v>107</v>
      </c>
      <c r="C82" s="89" t="s">
        <v>32</v>
      </c>
      <c r="D82" s="91">
        <v>100</v>
      </c>
      <c r="E82" s="79">
        <v>13155</v>
      </c>
      <c r="F82" s="79">
        <f t="shared" si="10"/>
        <v>1315500</v>
      </c>
      <c r="G82" s="79">
        <f t="shared" si="11"/>
        <v>236790</v>
      </c>
      <c r="H82" s="80">
        <f t="shared" si="12"/>
        <v>1552290</v>
      </c>
      <c r="I82" s="60"/>
      <c r="J82" s="60">
        <f t="shared" si="13"/>
        <v>100</v>
      </c>
      <c r="K82" s="79">
        <f t="shared" si="14"/>
        <v>0</v>
      </c>
      <c r="L82" s="79">
        <f t="shared" si="15"/>
        <v>0</v>
      </c>
      <c r="M82" s="79">
        <f t="shared" si="16"/>
        <v>0</v>
      </c>
      <c r="N82" s="80">
        <f t="shared" si="9"/>
        <v>0</v>
      </c>
      <c r="O82" s="80">
        <f t="shared" si="17"/>
        <v>1315500</v>
      </c>
      <c r="P82" s="60"/>
      <c r="R82" s="70"/>
    </row>
    <row r="83" spans="1:18" ht="71.25" customHeight="1" x14ac:dyDescent="0.25">
      <c r="A83" s="87">
        <v>21</v>
      </c>
      <c r="B83" s="88" t="s">
        <v>108</v>
      </c>
      <c r="C83" s="89" t="s">
        <v>32</v>
      </c>
      <c r="D83" s="91">
        <v>100</v>
      </c>
      <c r="E83" s="79">
        <v>2630</v>
      </c>
      <c r="F83" s="79">
        <f t="shared" si="10"/>
        <v>263000</v>
      </c>
      <c r="G83" s="79">
        <f t="shared" si="11"/>
        <v>47340</v>
      </c>
      <c r="H83" s="80">
        <f t="shared" si="12"/>
        <v>310340</v>
      </c>
      <c r="I83" s="60"/>
      <c r="J83" s="60">
        <f t="shared" si="13"/>
        <v>100</v>
      </c>
      <c r="K83" s="79">
        <f t="shared" si="14"/>
        <v>0</v>
      </c>
      <c r="L83" s="79">
        <f t="shared" si="15"/>
        <v>0</v>
      </c>
      <c r="M83" s="79">
        <f t="shared" si="16"/>
        <v>0</v>
      </c>
      <c r="N83" s="80">
        <f t="shared" si="9"/>
        <v>0</v>
      </c>
      <c r="O83" s="80">
        <f t="shared" si="17"/>
        <v>263000</v>
      </c>
      <c r="P83" s="60"/>
      <c r="R83" s="70"/>
    </row>
    <row r="84" spans="1:18" ht="71.25" customHeight="1" x14ac:dyDescent="0.25">
      <c r="A84" s="87">
        <v>22</v>
      </c>
      <c r="B84" s="88" t="s">
        <v>109</v>
      </c>
      <c r="C84" s="89" t="s">
        <v>32</v>
      </c>
      <c r="D84" s="91">
        <v>100</v>
      </c>
      <c r="E84" s="79">
        <v>5260</v>
      </c>
      <c r="F84" s="79">
        <f t="shared" si="10"/>
        <v>526000</v>
      </c>
      <c r="G84" s="79">
        <f t="shared" si="11"/>
        <v>94680</v>
      </c>
      <c r="H84" s="80">
        <f t="shared" si="12"/>
        <v>620680</v>
      </c>
      <c r="I84" s="60"/>
      <c r="J84" s="60">
        <f t="shared" si="13"/>
        <v>100</v>
      </c>
      <c r="K84" s="79">
        <f t="shared" si="14"/>
        <v>0</v>
      </c>
      <c r="L84" s="79">
        <f t="shared" si="15"/>
        <v>0</v>
      </c>
      <c r="M84" s="79">
        <f t="shared" si="16"/>
        <v>0</v>
      </c>
      <c r="N84" s="80">
        <f t="shared" si="9"/>
        <v>0</v>
      </c>
      <c r="O84" s="80">
        <f t="shared" si="17"/>
        <v>526000</v>
      </c>
      <c r="P84" s="60"/>
      <c r="R84" s="70"/>
    </row>
    <row r="85" spans="1:18" ht="71.25" customHeight="1" x14ac:dyDescent="0.25">
      <c r="A85" s="81" t="s">
        <v>110</v>
      </c>
      <c r="B85" s="82" t="s">
        <v>111</v>
      </c>
      <c r="C85" s="83"/>
      <c r="D85" s="84"/>
      <c r="E85" s="90"/>
      <c r="F85" s="79"/>
      <c r="G85" s="79"/>
      <c r="H85" s="80"/>
      <c r="I85" s="60"/>
      <c r="J85" s="60"/>
      <c r="K85" s="79"/>
      <c r="L85" s="79"/>
      <c r="M85" s="79"/>
      <c r="N85" s="80"/>
      <c r="O85" s="80"/>
      <c r="P85" s="60"/>
      <c r="R85" s="70"/>
    </row>
    <row r="86" spans="1:18" ht="71.25" customHeight="1" x14ac:dyDescent="0.25">
      <c r="A86" s="87">
        <v>1</v>
      </c>
      <c r="B86" s="88" t="s">
        <v>112</v>
      </c>
      <c r="C86" s="89" t="s">
        <v>32</v>
      </c>
      <c r="D86" s="91">
        <v>100</v>
      </c>
      <c r="E86" s="79">
        <v>131580</v>
      </c>
      <c r="F86" s="79">
        <f t="shared" si="10"/>
        <v>13158000</v>
      </c>
      <c r="G86" s="79">
        <f t="shared" si="11"/>
        <v>2368440</v>
      </c>
      <c r="H86" s="80">
        <f t="shared" si="12"/>
        <v>15526440</v>
      </c>
      <c r="I86" s="60">
        <v>100</v>
      </c>
      <c r="J86" s="60">
        <f t="shared" si="13"/>
        <v>0</v>
      </c>
      <c r="K86" s="79">
        <f t="shared" si="14"/>
        <v>13158000</v>
      </c>
      <c r="L86" s="79">
        <f t="shared" si="15"/>
        <v>2368440</v>
      </c>
      <c r="M86" s="79">
        <f t="shared" si="16"/>
        <v>1315800</v>
      </c>
      <c r="N86" s="80">
        <f t="shared" si="9"/>
        <v>14210640</v>
      </c>
      <c r="O86" s="80">
        <f t="shared" si="17"/>
        <v>0</v>
      </c>
      <c r="P86" s="60"/>
      <c r="R86" s="70"/>
    </row>
    <row r="87" spans="1:18" ht="71.25" customHeight="1" x14ac:dyDescent="0.25">
      <c r="A87" s="87">
        <v>2</v>
      </c>
      <c r="B87" s="88" t="s">
        <v>113</v>
      </c>
      <c r="C87" s="89" t="s">
        <v>32</v>
      </c>
      <c r="D87" s="91">
        <v>100</v>
      </c>
      <c r="E87" s="79">
        <v>105270</v>
      </c>
      <c r="F87" s="79">
        <f t="shared" si="10"/>
        <v>10527000</v>
      </c>
      <c r="G87" s="79">
        <f t="shared" si="11"/>
        <v>1894860</v>
      </c>
      <c r="H87" s="80">
        <f t="shared" si="12"/>
        <v>12421860</v>
      </c>
      <c r="I87" s="60">
        <f>80</f>
        <v>80</v>
      </c>
      <c r="J87" s="60">
        <f t="shared" si="13"/>
        <v>20</v>
      </c>
      <c r="K87" s="79">
        <f t="shared" si="14"/>
        <v>8421600</v>
      </c>
      <c r="L87" s="79">
        <f t="shared" si="15"/>
        <v>1515888</v>
      </c>
      <c r="M87" s="79">
        <f t="shared" si="16"/>
        <v>842160</v>
      </c>
      <c r="N87" s="80">
        <f t="shared" si="9"/>
        <v>9095328</v>
      </c>
      <c r="O87" s="80">
        <f t="shared" si="17"/>
        <v>2105400</v>
      </c>
      <c r="P87" s="60"/>
      <c r="R87" s="70"/>
    </row>
    <row r="88" spans="1:18" ht="71.25" customHeight="1" x14ac:dyDescent="0.25">
      <c r="A88" s="87">
        <v>3</v>
      </c>
      <c r="B88" s="88" t="s">
        <v>114</v>
      </c>
      <c r="C88" s="89" t="s">
        <v>32</v>
      </c>
      <c r="D88" s="91">
        <v>100</v>
      </c>
      <c r="E88" s="79">
        <v>5260</v>
      </c>
      <c r="F88" s="79">
        <f t="shared" si="10"/>
        <v>526000</v>
      </c>
      <c r="G88" s="79">
        <f t="shared" si="11"/>
        <v>94680</v>
      </c>
      <c r="H88" s="80">
        <f t="shared" si="12"/>
        <v>620680</v>
      </c>
      <c r="I88" s="60"/>
      <c r="J88" s="60">
        <f t="shared" si="13"/>
        <v>100</v>
      </c>
      <c r="K88" s="79">
        <f t="shared" si="14"/>
        <v>0</v>
      </c>
      <c r="L88" s="79">
        <f t="shared" si="15"/>
        <v>0</v>
      </c>
      <c r="M88" s="79">
        <f t="shared" si="16"/>
        <v>0</v>
      </c>
      <c r="N88" s="80">
        <f t="shared" si="9"/>
        <v>0</v>
      </c>
      <c r="O88" s="80">
        <f t="shared" si="17"/>
        <v>526000</v>
      </c>
      <c r="P88" s="60"/>
      <c r="R88" s="70"/>
    </row>
    <row r="89" spans="1:18" ht="71.25" customHeight="1" x14ac:dyDescent="0.25">
      <c r="A89" s="87">
        <v>4</v>
      </c>
      <c r="B89" s="88" t="s">
        <v>115</v>
      </c>
      <c r="C89" s="89" t="s">
        <v>32</v>
      </c>
      <c r="D89" s="91">
        <v>100</v>
      </c>
      <c r="E89" s="79">
        <v>52630</v>
      </c>
      <c r="F89" s="79">
        <f t="shared" si="10"/>
        <v>5263000</v>
      </c>
      <c r="G89" s="79">
        <f t="shared" si="11"/>
        <v>947340</v>
      </c>
      <c r="H89" s="80">
        <f t="shared" si="12"/>
        <v>6210340</v>
      </c>
      <c r="I89" s="60">
        <f>25+55.7+9.78</f>
        <v>90.48</v>
      </c>
      <c r="J89" s="60">
        <f t="shared" si="13"/>
        <v>9.519999999999996</v>
      </c>
      <c r="K89" s="79">
        <f t="shared" si="14"/>
        <v>4761962.4000000004</v>
      </c>
      <c r="L89" s="79">
        <f t="shared" si="15"/>
        <v>857153.23200000008</v>
      </c>
      <c r="M89" s="79">
        <f t="shared" si="16"/>
        <v>476196.24000000005</v>
      </c>
      <c r="N89" s="80">
        <f t="shared" si="9"/>
        <v>5142919.392</v>
      </c>
      <c r="O89" s="80">
        <f t="shared" si="17"/>
        <v>501037.5999999998</v>
      </c>
      <c r="P89" s="60"/>
      <c r="R89" s="70"/>
    </row>
    <row r="90" spans="1:18" ht="71.25" customHeight="1" x14ac:dyDescent="0.25">
      <c r="A90" s="87">
        <v>5</v>
      </c>
      <c r="B90" s="88" t="s">
        <v>116</v>
      </c>
      <c r="C90" s="89" t="s">
        <v>32</v>
      </c>
      <c r="D90" s="91">
        <v>100</v>
      </c>
      <c r="E90" s="79">
        <v>52630</v>
      </c>
      <c r="F90" s="79">
        <f t="shared" si="10"/>
        <v>5263000</v>
      </c>
      <c r="G90" s="79">
        <f t="shared" si="11"/>
        <v>947340</v>
      </c>
      <c r="H90" s="80">
        <f t="shared" si="12"/>
        <v>6210340</v>
      </c>
      <c r="I90" s="60">
        <f>39.6+50.4</f>
        <v>90</v>
      </c>
      <c r="J90" s="60">
        <f t="shared" si="13"/>
        <v>10</v>
      </c>
      <c r="K90" s="79">
        <f t="shared" si="14"/>
        <v>4736700</v>
      </c>
      <c r="L90" s="79">
        <f t="shared" si="15"/>
        <v>852606</v>
      </c>
      <c r="M90" s="79">
        <f t="shared" si="16"/>
        <v>473670</v>
      </c>
      <c r="N90" s="80">
        <f t="shared" si="9"/>
        <v>5115636</v>
      </c>
      <c r="O90" s="80">
        <f t="shared" si="17"/>
        <v>526300</v>
      </c>
      <c r="P90" s="60"/>
      <c r="R90" s="70"/>
    </row>
    <row r="91" spans="1:18" ht="71.25" customHeight="1" x14ac:dyDescent="0.25">
      <c r="A91" s="87">
        <v>6</v>
      </c>
      <c r="B91" s="88" t="s">
        <v>117</v>
      </c>
      <c r="C91" s="89" t="s">
        <v>32</v>
      </c>
      <c r="D91" s="91">
        <v>100</v>
      </c>
      <c r="E91" s="79">
        <v>52630</v>
      </c>
      <c r="F91" s="79">
        <f t="shared" si="10"/>
        <v>5263000</v>
      </c>
      <c r="G91" s="79">
        <f t="shared" si="11"/>
        <v>947340</v>
      </c>
      <c r="H91" s="80">
        <f t="shared" si="12"/>
        <v>6210340</v>
      </c>
      <c r="I91" s="60">
        <f>10.5+18.9</f>
        <v>29.4</v>
      </c>
      <c r="J91" s="60">
        <f t="shared" si="13"/>
        <v>70.599999999999994</v>
      </c>
      <c r="K91" s="79">
        <f t="shared" si="14"/>
        <v>1547322</v>
      </c>
      <c r="L91" s="79">
        <f t="shared" si="15"/>
        <v>278517.95999999996</v>
      </c>
      <c r="M91" s="79">
        <f t="shared" si="16"/>
        <v>154732.20000000001</v>
      </c>
      <c r="N91" s="80">
        <f t="shared" si="9"/>
        <v>1671107.76</v>
      </c>
      <c r="O91" s="80">
        <f t="shared" si="17"/>
        <v>3715677.9999999995</v>
      </c>
      <c r="P91" s="60"/>
      <c r="R91" s="70"/>
    </row>
    <row r="92" spans="1:18" ht="71.25" customHeight="1" x14ac:dyDescent="0.25">
      <c r="A92" s="87">
        <v>7</v>
      </c>
      <c r="B92" s="88" t="s">
        <v>118</v>
      </c>
      <c r="C92" s="89" t="s">
        <v>32</v>
      </c>
      <c r="D92" s="91">
        <v>100</v>
      </c>
      <c r="E92" s="79">
        <v>13160</v>
      </c>
      <c r="F92" s="79">
        <f t="shared" si="10"/>
        <v>1316000</v>
      </c>
      <c r="G92" s="79">
        <f t="shared" si="11"/>
        <v>236880</v>
      </c>
      <c r="H92" s="80">
        <f t="shared" si="12"/>
        <v>1552880</v>
      </c>
      <c r="I92" s="60">
        <v>100</v>
      </c>
      <c r="J92" s="60">
        <f t="shared" si="13"/>
        <v>0</v>
      </c>
      <c r="K92" s="79">
        <f t="shared" si="14"/>
        <v>1316000</v>
      </c>
      <c r="L92" s="79">
        <f t="shared" si="15"/>
        <v>236880</v>
      </c>
      <c r="M92" s="79">
        <f t="shared" si="16"/>
        <v>131600</v>
      </c>
      <c r="N92" s="80">
        <f t="shared" si="9"/>
        <v>1421280</v>
      </c>
      <c r="O92" s="80">
        <f t="shared" si="17"/>
        <v>0</v>
      </c>
      <c r="P92" s="60"/>
      <c r="R92" s="70"/>
    </row>
    <row r="93" spans="1:18" ht="71.25" customHeight="1" x14ac:dyDescent="0.25">
      <c r="A93" s="87">
        <v>8</v>
      </c>
      <c r="B93" s="88" t="s">
        <v>119</v>
      </c>
      <c r="C93" s="89" t="s">
        <v>32</v>
      </c>
      <c r="D93" s="91">
        <v>100</v>
      </c>
      <c r="E93" s="79">
        <v>13160</v>
      </c>
      <c r="F93" s="79">
        <f t="shared" si="10"/>
        <v>1316000</v>
      </c>
      <c r="G93" s="79">
        <f t="shared" si="11"/>
        <v>236880</v>
      </c>
      <c r="H93" s="80">
        <f t="shared" si="12"/>
        <v>1552880</v>
      </c>
      <c r="I93" s="60"/>
      <c r="J93" s="60">
        <f t="shared" si="13"/>
        <v>100</v>
      </c>
      <c r="K93" s="79">
        <f t="shared" si="14"/>
        <v>0</v>
      </c>
      <c r="L93" s="79">
        <f t="shared" si="15"/>
        <v>0</v>
      </c>
      <c r="M93" s="79">
        <f t="shared" si="16"/>
        <v>0</v>
      </c>
      <c r="N93" s="80">
        <f t="shared" si="9"/>
        <v>0</v>
      </c>
      <c r="O93" s="80">
        <f t="shared" si="17"/>
        <v>1316000</v>
      </c>
      <c r="P93" s="60"/>
      <c r="R93" s="70"/>
    </row>
    <row r="94" spans="1:18" ht="71.25" customHeight="1" x14ac:dyDescent="0.25">
      <c r="A94" s="87">
        <v>9</v>
      </c>
      <c r="B94" s="88" t="s">
        <v>120</v>
      </c>
      <c r="C94" s="89" t="s">
        <v>32</v>
      </c>
      <c r="D94" s="91">
        <v>100</v>
      </c>
      <c r="E94" s="79">
        <v>13160</v>
      </c>
      <c r="F94" s="79">
        <f t="shared" si="10"/>
        <v>1316000</v>
      </c>
      <c r="G94" s="79">
        <f t="shared" si="11"/>
        <v>236880</v>
      </c>
      <c r="H94" s="80">
        <f t="shared" si="12"/>
        <v>1552880</v>
      </c>
      <c r="I94" s="60"/>
      <c r="J94" s="60">
        <f t="shared" si="13"/>
        <v>100</v>
      </c>
      <c r="K94" s="79">
        <f t="shared" si="14"/>
        <v>0</v>
      </c>
      <c r="L94" s="79">
        <f t="shared" si="15"/>
        <v>0</v>
      </c>
      <c r="M94" s="79">
        <f t="shared" si="16"/>
        <v>0</v>
      </c>
      <c r="N94" s="80">
        <f t="shared" si="9"/>
        <v>0</v>
      </c>
      <c r="O94" s="80">
        <f t="shared" si="17"/>
        <v>1316000</v>
      </c>
      <c r="P94" s="60"/>
      <c r="R94" s="70"/>
    </row>
    <row r="95" spans="1:18" ht="71.25" customHeight="1" x14ac:dyDescent="0.25">
      <c r="A95" s="87">
        <v>10</v>
      </c>
      <c r="B95" s="88" t="s">
        <v>121</v>
      </c>
      <c r="C95" s="89" t="s">
        <v>32</v>
      </c>
      <c r="D95" s="91">
        <v>100</v>
      </c>
      <c r="E95" s="79">
        <v>26310</v>
      </c>
      <c r="F95" s="79">
        <f t="shared" si="10"/>
        <v>2631000</v>
      </c>
      <c r="G95" s="79">
        <f t="shared" si="11"/>
        <v>473580</v>
      </c>
      <c r="H95" s="80">
        <f t="shared" si="12"/>
        <v>3104580</v>
      </c>
      <c r="I95" s="60">
        <f>30</f>
        <v>30</v>
      </c>
      <c r="J95" s="60">
        <f t="shared" si="13"/>
        <v>70</v>
      </c>
      <c r="K95" s="79">
        <f t="shared" si="14"/>
        <v>789300</v>
      </c>
      <c r="L95" s="79">
        <f t="shared" si="15"/>
        <v>142074</v>
      </c>
      <c r="M95" s="79">
        <f t="shared" si="16"/>
        <v>78930</v>
      </c>
      <c r="N95" s="80">
        <f t="shared" si="9"/>
        <v>852444</v>
      </c>
      <c r="O95" s="80">
        <f t="shared" si="17"/>
        <v>1841700</v>
      </c>
      <c r="P95" s="60"/>
      <c r="R95" s="70"/>
    </row>
    <row r="96" spans="1:18" ht="71.25" customHeight="1" x14ac:dyDescent="0.25">
      <c r="A96" s="87">
        <v>11</v>
      </c>
      <c r="B96" s="88" t="s">
        <v>122</v>
      </c>
      <c r="C96" s="89" t="s">
        <v>32</v>
      </c>
      <c r="D96" s="91">
        <v>100</v>
      </c>
      <c r="E96" s="79">
        <v>26310</v>
      </c>
      <c r="F96" s="79">
        <f t="shared" si="10"/>
        <v>2631000</v>
      </c>
      <c r="G96" s="79">
        <f t="shared" si="11"/>
        <v>473580</v>
      </c>
      <c r="H96" s="80">
        <f t="shared" si="12"/>
        <v>3104580</v>
      </c>
      <c r="I96" s="60"/>
      <c r="J96" s="60">
        <f t="shared" si="13"/>
        <v>100</v>
      </c>
      <c r="K96" s="79">
        <f t="shared" si="14"/>
        <v>0</v>
      </c>
      <c r="L96" s="79">
        <f t="shared" si="15"/>
        <v>0</v>
      </c>
      <c r="M96" s="79">
        <f t="shared" si="16"/>
        <v>0</v>
      </c>
      <c r="N96" s="80">
        <f t="shared" si="9"/>
        <v>0</v>
      </c>
      <c r="O96" s="80">
        <f t="shared" si="17"/>
        <v>2631000</v>
      </c>
      <c r="P96" s="60"/>
      <c r="R96" s="70"/>
    </row>
    <row r="97" spans="1:18" ht="71.25" customHeight="1" x14ac:dyDescent="0.25">
      <c r="A97" s="87">
        <v>12</v>
      </c>
      <c r="B97" s="88" t="s">
        <v>123</v>
      </c>
      <c r="C97" s="89" t="s">
        <v>32</v>
      </c>
      <c r="D97" s="91">
        <v>100</v>
      </c>
      <c r="E97" s="79">
        <v>26310</v>
      </c>
      <c r="F97" s="79">
        <f t="shared" si="10"/>
        <v>2631000</v>
      </c>
      <c r="G97" s="79">
        <f t="shared" si="11"/>
        <v>473580</v>
      </c>
      <c r="H97" s="80">
        <f t="shared" si="12"/>
        <v>3104580</v>
      </c>
      <c r="I97" s="60"/>
      <c r="J97" s="60">
        <f t="shared" si="13"/>
        <v>100</v>
      </c>
      <c r="K97" s="79">
        <f t="shared" si="14"/>
        <v>0</v>
      </c>
      <c r="L97" s="79">
        <f t="shared" si="15"/>
        <v>0</v>
      </c>
      <c r="M97" s="79">
        <f t="shared" si="16"/>
        <v>0</v>
      </c>
      <c r="N97" s="80">
        <f t="shared" si="9"/>
        <v>0</v>
      </c>
      <c r="O97" s="80">
        <f t="shared" si="17"/>
        <v>2631000</v>
      </c>
      <c r="P97" s="60"/>
      <c r="R97" s="70"/>
    </row>
    <row r="98" spans="1:18" ht="71.25" customHeight="1" x14ac:dyDescent="0.25">
      <c r="A98" s="87">
        <v>13</v>
      </c>
      <c r="B98" s="88" t="s">
        <v>124</v>
      </c>
      <c r="C98" s="89" t="s">
        <v>32</v>
      </c>
      <c r="D98" s="91">
        <v>100</v>
      </c>
      <c r="E98" s="79">
        <v>10530</v>
      </c>
      <c r="F98" s="79">
        <f t="shared" si="10"/>
        <v>1053000</v>
      </c>
      <c r="G98" s="79">
        <f t="shared" si="11"/>
        <v>189540</v>
      </c>
      <c r="H98" s="80">
        <f t="shared" si="12"/>
        <v>1242540</v>
      </c>
      <c r="I98" s="60"/>
      <c r="J98" s="60">
        <f t="shared" si="13"/>
        <v>100</v>
      </c>
      <c r="K98" s="79">
        <f t="shared" si="14"/>
        <v>0</v>
      </c>
      <c r="L98" s="79">
        <f t="shared" si="15"/>
        <v>0</v>
      </c>
      <c r="M98" s="79">
        <f t="shared" si="16"/>
        <v>0</v>
      </c>
      <c r="N98" s="80">
        <f t="shared" si="9"/>
        <v>0</v>
      </c>
      <c r="O98" s="80">
        <f t="shared" si="17"/>
        <v>1053000</v>
      </c>
      <c r="P98" s="60"/>
      <c r="R98" s="70"/>
    </row>
    <row r="99" spans="1:18" ht="71.25" customHeight="1" x14ac:dyDescent="0.25">
      <c r="A99" s="87">
        <v>14</v>
      </c>
      <c r="B99" s="88" t="s">
        <v>125</v>
      </c>
      <c r="C99" s="89" t="s">
        <v>32</v>
      </c>
      <c r="D99" s="91">
        <v>100</v>
      </c>
      <c r="E99" s="79">
        <v>15790</v>
      </c>
      <c r="F99" s="79">
        <f t="shared" si="10"/>
        <v>1579000</v>
      </c>
      <c r="G99" s="79">
        <f t="shared" si="11"/>
        <v>284220</v>
      </c>
      <c r="H99" s="80">
        <f t="shared" si="12"/>
        <v>1863220</v>
      </c>
      <c r="I99" s="60"/>
      <c r="J99" s="60">
        <f t="shared" si="13"/>
        <v>100</v>
      </c>
      <c r="K99" s="79">
        <f t="shared" si="14"/>
        <v>0</v>
      </c>
      <c r="L99" s="79">
        <f t="shared" si="15"/>
        <v>0</v>
      </c>
      <c r="M99" s="79">
        <f t="shared" si="16"/>
        <v>0</v>
      </c>
      <c r="N99" s="80">
        <f t="shared" si="9"/>
        <v>0</v>
      </c>
      <c r="O99" s="80">
        <f t="shared" si="17"/>
        <v>1579000</v>
      </c>
      <c r="P99" s="60"/>
      <c r="R99" s="70"/>
    </row>
    <row r="100" spans="1:18" ht="71.25" customHeight="1" x14ac:dyDescent="0.25">
      <c r="A100" s="81" t="s">
        <v>126</v>
      </c>
      <c r="B100" s="82" t="s">
        <v>127</v>
      </c>
      <c r="C100" s="83"/>
      <c r="D100" s="84"/>
      <c r="E100" s="90"/>
      <c r="F100" s="79"/>
      <c r="G100" s="79"/>
      <c r="H100" s="80"/>
      <c r="I100" s="60"/>
      <c r="J100" s="60"/>
      <c r="K100" s="79"/>
      <c r="L100" s="79"/>
      <c r="M100" s="79"/>
      <c r="N100" s="80"/>
      <c r="O100" s="80"/>
      <c r="P100" s="60"/>
      <c r="R100" s="70"/>
    </row>
    <row r="101" spans="1:18" ht="71.25" customHeight="1" x14ac:dyDescent="0.25">
      <c r="A101" s="87">
        <v>1</v>
      </c>
      <c r="B101" s="88" t="s">
        <v>186</v>
      </c>
      <c r="C101" s="89" t="s">
        <v>32</v>
      </c>
      <c r="D101" s="91">
        <v>100</v>
      </c>
      <c r="E101" s="79">
        <v>13155</v>
      </c>
      <c r="F101" s="79">
        <f t="shared" si="10"/>
        <v>1315500</v>
      </c>
      <c r="G101" s="79">
        <f t="shared" si="11"/>
        <v>236790</v>
      </c>
      <c r="H101" s="80">
        <f t="shared" si="12"/>
        <v>1552290</v>
      </c>
      <c r="I101" s="60"/>
      <c r="J101" s="60">
        <f t="shared" si="13"/>
        <v>100</v>
      </c>
      <c r="K101" s="79">
        <f t="shared" si="14"/>
        <v>0</v>
      </c>
      <c r="L101" s="79">
        <f t="shared" si="15"/>
        <v>0</v>
      </c>
      <c r="M101" s="79">
        <f t="shared" si="16"/>
        <v>0</v>
      </c>
      <c r="N101" s="80">
        <f t="shared" si="9"/>
        <v>0</v>
      </c>
      <c r="O101" s="80">
        <f t="shared" si="17"/>
        <v>1315500</v>
      </c>
      <c r="P101" s="60"/>
      <c r="R101" s="70"/>
    </row>
    <row r="102" spans="1:18" ht="71.25" customHeight="1" x14ac:dyDescent="0.25">
      <c r="A102" s="87">
        <v>2</v>
      </c>
      <c r="B102" s="88" t="s">
        <v>187</v>
      </c>
      <c r="C102" s="89" t="s">
        <v>32</v>
      </c>
      <c r="D102" s="91">
        <v>100</v>
      </c>
      <c r="E102" s="79">
        <v>52620</v>
      </c>
      <c r="F102" s="79">
        <f t="shared" si="10"/>
        <v>5262000</v>
      </c>
      <c r="G102" s="79">
        <f t="shared" si="11"/>
        <v>947160</v>
      </c>
      <c r="H102" s="80">
        <f t="shared" si="12"/>
        <v>6209160</v>
      </c>
      <c r="I102" s="60"/>
      <c r="J102" s="60">
        <f t="shared" si="13"/>
        <v>100</v>
      </c>
      <c r="K102" s="79">
        <f t="shared" si="14"/>
        <v>0</v>
      </c>
      <c r="L102" s="79">
        <f t="shared" si="15"/>
        <v>0</v>
      </c>
      <c r="M102" s="79">
        <f t="shared" si="16"/>
        <v>0</v>
      </c>
      <c r="N102" s="80">
        <f t="shared" si="9"/>
        <v>0</v>
      </c>
      <c r="O102" s="80">
        <f t="shared" si="17"/>
        <v>5262000</v>
      </c>
      <c r="P102" s="60"/>
      <c r="R102" s="70"/>
    </row>
    <row r="103" spans="1:18" ht="71.25" customHeight="1" x14ac:dyDescent="0.25">
      <c r="A103" s="87">
        <v>3</v>
      </c>
      <c r="B103" s="88" t="s">
        <v>188</v>
      </c>
      <c r="C103" s="89" t="s">
        <v>32</v>
      </c>
      <c r="D103" s="91">
        <v>100</v>
      </c>
      <c r="E103" s="79">
        <v>13155</v>
      </c>
      <c r="F103" s="79">
        <f t="shared" si="10"/>
        <v>1315500</v>
      </c>
      <c r="G103" s="79">
        <f t="shared" si="11"/>
        <v>236790</v>
      </c>
      <c r="H103" s="80">
        <f t="shared" si="12"/>
        <v>1552290</v>
      </c>
      <c r="I103" s="60"/>
      <c r="J103" s="60">
        <f t="shared" si="13"/>
        <v>100</v>
      </c>
      <c r="K103" s="79">
        <f t="shared" si="14"/>
        <v>0</v>
      </c>
      <c r="L103" s="79">
        <f t="shared" si="15"/>
        <v>0</v>
      </c>
      <c r="M103" s="79">
        <f t="shared" si="16"/>
        <v>0</v>
      </c>
      <c r="N103" s="80">
        <f t="shared" si="9"/>
        <v>0</v>
      </c>
      <c r="O103" s="80">
        <f t="shared" si="17"/>
        <v>1315500</v>
      </c>
      <c r="P103" s="60"/>
      <c r="R103" s="70"/>
    </row>
    <row r="104" spans="1:18" ht="71.25" customHeight="1" x14ac:dyDescent="0.25">
      <c r="A104" s="87">
        <v>4</v>
      </c>
      <c r="B104" s="88" t="s">
        <v>189</v>
      </c>
      <c r="C104" s="89" t="s">
        <v>32</v>
      </c>
      <c r="D104" s="91">
        <v>100</v>
      </c>
      <c r="E104" s="79">
        <v>26310</v>
      </c>
      <c r="F104" s="79">
        <f t="shared" si="10"/>
        <v>2631000</v>
      </c>
      <c r="G104" s="79">
        <f t="shared" si="11"/>
        <v>473580</v>
      </c>
      <c r="H104" s="80">
        <f t="shared" si="12"/>
        <v>3104580</v>
      </c>
      <c r="I104" s="60"/>
      <c r="J104" s="60">
        <f t="shared" si="13"/>
        <v>100</v>
      </c>
      <c r="K104" s="79">
        <f t="shared" si="14"/>
        <v>0</v>
      </c>
      <c r="L104" s="79">
        <f t="shared" si="15"/>
        <v>0</v>
      </c>
      <c r="M104" s="79">
        <f t="shared" si="16"/>
        <v>0</v>
      </c>
      <c r="N104" s="80">
        <f t="shared" si="9"/>
        <v>0</v>
      </c>
      <c r="O104" s="80">
        <f t="shared" si="17"/>
        <v>2631000</v>
      </c>
      <c r="P104" s="60"/>
      <c r="R104" s="70"/>
    </row>
    <row r="105" spans="1:18" ht="71.25" customHeight="1" x14ac:dyDescent="0.25">
      <c r="A105" s="87">
        <v>5</v>
      </c>
      <c r="B105" s="88" t="s">
        <v>190</v>
      </c>
      <c r="C105" s="89" t="s">
        <v>32</v>
      </c>
      <c r="D105" s="91">
        <v>100</v>
      </c>
      <c r="E105" s="79">
        <v>13155</v>
      </c>
      <c r="F105" s="79">
        <f t="shared" si="10"/>
        <v>1315500</v>
      </c>
      <c r="G105" s="79">
        <f t="shared" si="11"/>
        <v>236790</v>
      </c>
      <c r="H105" s="80">
        <f t="shared" si="12"/>
        <v>1552290</v>
      </c>
      <c r="I105" s="60"/>
      <c r="J105" s="60">
        <f t="shared" si="13"/>
        <v>100</v>
      </c>
      <c r="K105" s="79">
        <f t="shared" si="14"/>
        <v>0</v>
      </c>
      <c r="L105" s="79">
        <f t="shared" si="15"/>
        <v>0</v>
      </c>
      <c r="M105" s="79">
        <f t="shared" si="16"/>
        <v>0</v>
      </c>
      <c r="N105" s="80">
        <f t="shared" si="9"/>
        <v>0</v>
      </c>
      <c r="O105" s="80">
        <f t="shared" si="17"/>
        <v>1315500</v>
      </c>
      <c r="P105" s="60"/>
      <c r="R105" s="70"/>
    </row>
    <row r="106" spans="1:18" ht="71.25" customHeight="1" x14ac:dyDescent="0.25">
      <c r="A106" s="87">
        <v>6</v>
      </c>
      <c r="B106" s="88" t="s">
        <v>191</v>
      </c>
      <c r="C106" s="89" t="s">
        <v>32</v>
      </c>
      <c r="D106" s="91">
        <v>100</v>
      </c>
      <c r="E106" s="79">
        <v>26310</v>
      </c>
      <c r="F106" s="79">
        <f t="shared" si="10"/>
        <v>2631000</v>
      </c>
      <c r="G106" s="79">
        <f t="shared" si="11"/>
        <v>473580</v>
      </c>
      <c r="H106" s="80">
        <f t="shared" si="12"/>
        <v>3104580</v>
      </c>
      <c r="I106" s="60"/>
      <c r="J106" s="60">
        <f t="shared" si="13"/>
        <v>100</v>
      </c>
      <c r="K106" s="79">
        <f t="shared" si="14"/>
        <v>0</v>
      </c>
      <c r="L106" s="79">
        <f t="shared" si="15"/>
        <v>0</v>
      </c>
      <c r="M106" s="79">
        <f t="shared" si="16"/>
        <v>0</v>
      </c>
      <c r="N106" s="80">
        <f t="shared" si="9"/>
        <v>0</v>
      </c>
      <c r="O106" s="80">
        <f t="shared" si="17"/>
        <v>2631000</v>
      </c>
      <c r="P106" s="60"/>
      <c r="R106" s="70"/>
    </row>
    <row r="107" spans="1:18" ht="71.25" customHeight="1" x14ac:dyDescent="0.25">
      <c r="A107" s="87">
        <v>7</v>
      </c>
      <c r="B107" s="88" t="s">
        <v>192</v>
      </c>
      <c r="C107" s="89" t="s">
        <v>32</v>
      </c>
      <c r="D107" s="91">
        <v>100</v>
      </c>
      <c r="E107" s="79">
        <v>13155</v>
      </c>
      <c r="F107" s="79">
        <f t="shared" si="10"/>
        <v>1315500</v>
      </c>
      <c r="G107" s="79">
        <f t="shared" si="11"/>
        <v>236790</v>
      </c>
      <c r="H107" s="80">
        <f t="shared" si="12"/>
        <v>1552290</v>
      </c>
      <c r="I107" s="60"/>
      <c r="J107" s="60">
        <f t="shared" si="13"/>
        <v>100</v>
      </c>
      <c r="K107" s="79">
        <f t="shared" si="14"/>
        <v>0</v>
      </c>
      <c r="L107" s="79">
        <f t="shared" si="15"/>
        <v>0</v>
      </c>
      <c r="M107" s="79">
        <f t="shared" si="16"/>
        <v>0</v>
      </c>
      <c r="N107" s="80">
        <f t="shared" si="9"/>
        <v>0</v>
      </c>
      <c r="O107" s="80">
        <f t="shared" si="17"/>
        <v>1315500</v>
      </c>
      <c r="P107" s="60"/>
      <c r="R107" s="70"/>
    </row>
    <row r="108" spans="1:18" ht="71.25" customHeight="1" x14ac:dyDescent="0.25">
      <c r="A108" s="87">
        <v>8</v>
      </c>
      <c r="B108" s="88" t="s">
        <v>193</v>
      </c>
      <c r="C108" s="89" t="s">
        <v>32</v>
      </c>
      <c r="D108" s="91">
        <v>100</v>
      </c>
      <c r="E108" s="79">
        <v>52620</v>
      </c>
      <c r="F108" s="79">
        <f t="shared" si="10"/>
        <v>5262000</v>
      </c>
      <c r="G108" s="79">
        <f t="shared" si="11"/>
        <v>947160</v>
      </c>
      <c r="H108" s="80">
        <f t="shared" si="12"/>
        <v>6209160</v>
      </c>
      <c r="I108" s="60">
        <f>30</f>
        <v>30</v>
      </c>
      <c r="J108" s="60">
        <f t="shared" si="13"/>
        <v>70</v>
      </c>
      <c r="K108" s="79">
        <f t="shared" si="14"/>
        <v>1578600</v>
      </c>
      <c r="L108" s="79">
        <f t="shared" si="15"/>
        <v>284148</v>
      </c>
      <c r="M108" s="79">
        <f t="shared" si="16"/>
        <v>157860</v>
      </c>
      <c r="N108" s="80">
        <f t="shared" si="9"/>
        <v>1704888</v>
      </c>
      <c r="O108" s="80">
        <f t="shared" si="17"/>
        <v>3683400</v>
      </c>
      <c r="P108" s="60"/>
      <c r="R108" s="70"/>
    </row>
    <row r="109" spans="1:18" ht="71.25" customHeight="1" x14ac:dyDescent="0.25">
      <c r="A109" s="87">
        <v>9</v>
      </c>
      <c r="B109" s="88" t="s">
        <v>194</v>
      </c>
      <c r="C109" s="89" t="s">
        <v>32</v>
      </c>
      <c r="D109" s="91">
        <v>100</v>
      </c>
      <c r="E109" s="79">
        <v>78930</v>
      </c>
      <c r="F109" s="79">
        <f t="shared" si="10"/>
        <v>7893000</v>
      </c>
      <c r="G109" s="79">
        <f t="shared" si="11"/>
        <v>1420740</v>
      </c>
      <c r="H109" s="80">
        <f t="shared" si="12"/>
        <v>9313740</v>
      </c>
      <c r="I109" s="60">
        <f>75+25</f>
        <v>100</v>
      </c>
      <c r="J109" s="60">
        <f t="shared" si="13"/>
        <v>0</v>
      </c>
      <c r="K109" s="79">
        <f t="shared" si="14"/>
        <v>7893000</v>
      </c>
      <c r="L109" s="79">
        <f t="shared" si="15"/>
        <v>1420740</v>
      </c>
      <c r="M109" s="79">
        <f t="shared" si="16"/>
        <v>789300</v>
      </c>
      <c r="N109" s="80">
        <f t="shared" si="9"/>
        <v>8524440</v>
      </c>
      <c r="O109" s="80">
        <f t="shared" si="17"/>
        <v>0</v>
      </c>
      <c r="P109" s="60"/>
      <c r="R109" s="70"/>
    </row>
    <row r="110" spans="1:18" ht="71.25" customHeight="1" x14ac:dyDescent="0.25">
      <c r="A110" s="87">
        <v>10</v>
      </c>
      <c r="B110" s="88" t="s">
        <v>137</v>
      </c>
      <c r="C110" s="89" t="s">
        <v>32</v>
      </c>
      <c r="D110" s="91">
        <v>100</v>
      </c>
      <c r="E110" s="79">
        <v>13160</v>
      </c>
      <c r="F110" s="79">
        <f t="shared" si="10"/>
        <v>1316000</v>
      </c>
      <c r="G110" s="79">
        <f t="shared" si="11"/>
        <v>236880</v>
      </c>
      <c r="H110" s="80">
        <f t="shared" si="12"/>
        <v>1552880</v>
      </c>
      <c r="I110" s="60"/>
      <c r="J110" s="60">
        <f t="shared" si="13"/>
        <v>100</v>
      </c>
      <c r="K110" s="79">
        <f t="shared" si="14"/>
        <v>0</v>
      </c>
      <c r="L110" s="79">
        <f t="shared" si="15"/>
        <v>0</v>
      </c>
      <c r="M110" s="79">
        <f t="shared" si="16"/>
        <v>0</v>
      </c>
      <c r="N110" s="80">
        <f t="shared" si="9"/>
        <v>0</v>
      </c>
      <c r="O110" s="80">
        <f t="shared" si="17"/>
        <v>1316000</v>
      </c>
      <c r="P110" s="60"/>
      <c r="R110" s="70"/>
    </row>
    <row r="111" spans="1:18" ht="71.25" customHeight="1" x14ac:dyDescent="0.25">
      <c r="A111" s="87">
        <v>11</v>
      </c>
      <c r="B111" s="88" t="s">
        <v>138</v>
      </c>
      <c r="C111" s="89"/>
      <c r="D111" s="91">
        <v>100</v>
      </c>
      <c r="E111" s="79">
        <v>26310</v>
      </c>
      <c r="F111" s="79">
        <f t="shared" si="10"/>
        <v>2631000</v>
      </c>
      <c r="G111" s="79">
        <f t="shared" si="11"/>
        <v>473580</v>
      </c>
      <c r="H111" s="80">
        <f t="shared" si="12"/>
        <v>3104580</v>
      </c>
      <c r="I111" s="60"/>
      <c r="J111" s="60">
        <f t="shared" si="13"/>
        <v>100</v>
      </c>
      <c r="K111" s="79">
        <f t="shared" si="14"/>
        <v>0</v>
      </c>
      <c r="L111" s="79">
        <f t="shared" si="15"/>
        <v>0</v>
      </c>
      <c r="M111" s="79">
        <f t="shared" si="16"/>
        <v>0</v>
      </c>
      <c r="N111" s="80">
        <f t="shared" si="9"/>
        <v>0</v>
      </c>
      <c r="O111" s="80">
        <f t="shared" si="17"/>
        <v>2631000</v>
      </c>
      <c r="P111" s="60"/>
      <c r="R111" s="70"/>
    </row>
    <row r="112" spans="1:18" ht="71.25" customHeight="1" x14ac:dyDescent="0.25">
      <c r="A112" s="81" t="s">
        <v>139</v>
      </c>
      <c r="B112" s="82" t="s">
        <v>140</v>
      </c>
      <c r="C112" s="83"/>
      <c r="D112" s="84"/>
      <c r="E112" s="79"/>
      <c r="F112" s="79"/>
      <c r="G112" s="79"/>
      <c r="H112" s="80"/>
      <c r="I112" s="60"/>
      <c r="J112" s="60"/>
      <c r="K112" s="79"/>
      <c r="L112" s="79"/>
      <c r="M112" s="79"/>
      <c r="N112" s="80"/>
      <c r="O112" s="80"/>
      <c r="P112" s="60"/>
      <c r="R112" s="70"/>
    </row>
    <row r="113" spans="1:18" ht="71.25" customHeight="1" x14ac:dyDescent="0.25">
      <c r="A113" s="87">
        <v>1</v>
      </c>
      <c r="B113" s="88" t="s">
        <v>141</v>
      </c>
      <c r="C113" s="89" t="s">
        <v>32</v>
      </c>
      <c r="D113" s="91">
        <v>100</v>
      </c>
      <c r="E113" s="79">
        <v>26320</v>
      </c>
      <c r="F113" s="79">
        <f t="shared" si="10"/>
        <v>2632000</v>
      </c>
      <c r="G113" s="79">
        <f t="shared" si="11"/>
        <v>473760</v>
      </c>
      <c r="H113" s="80">
        <f t="shared" si="12"/>
        <v>3105760</v>
      </c>
      <c r="I113" s="60">
        <f>50</f>
        <v>50</v>
      </c>
      <c r="J113" s="60">
        <f t="shared" si="13"/>
        <v>50</v>
      </c>
      <c r="K113" s="79">
        <f t="shared" si="14"/>
        <v>1316000</v>
      </c>
      <c r="L113" s="79">
        <f t="shared" si="15"/>
        <v>236880</v>
      </c>
      <c r="M113" s="79">
        <f t="shared" si="16"/>
        <v>131600</v>
      </c>
      <c r="N113" s="80">
        <f t="shared" si="9"/>
        <v>1421280</v>
      </c>
      <c r="O113" s="80">
        <f t="shared" si="17"/>
        <v>1316000</v>
      </c>
      <c r="P113" s="60"/>
      <c r="R113" s="70"/>
    </row>
    <row r="114" spans="1:18" ht="71.25" customHeight="1" x14ac:dyDescent="0.25">
      <c r="A114" s="87">
        <v>2</v>
      </c>
      <c r="B114" s="88" t="s">
        <v>142</v>
      </c>
      <c r="C114" s="89" t="s">
        <v>32</v>
      </c>
      <c r="D114" s="91">
        <v>100</v>
      </c>
      <c r="E114" s="79">
        <v>13160</v>
      </c>
      <c r="F114" s="79">
        <f t="shared" si="10"/>
        <v>1316000</v>
      </c>
      <c r="G114" s="79">
        <f t="shared" si="11"/>
        <v>236880</v>
      </c>
      <c r="H114" s="80">
        <f t="shared" si="12"/>
        <v>1552880</v>
      </c>
      <c r="I114" s="60"/>
      <c r="J114" s="60">
        <f t="shared" si="13"/>
        <v>100</v>
      </c>
      <c r="K114" s="79">
        <f t="shared" si="14"/>
        <v>0</v>
      </c>
      <c r="L114" s="79">
        <f t="shared" si="15"/>
        <v>0</v>
      </c>
      <c r="M114" s="79">
        <f t="shared" si="16"/>
        <v>0</v>
      </c>
      <c r="N114" s="80">
        <f t="shared" si="9"/>
        <v>0</v>
      </c>
      <c r="O114" s="80">
        <f t="shared" si="17"/>
        <v>1316000</v>
      </c>
      <c r="P114" s="60"/>
      <c r="R114" s="70"/>
    </row>
    <row r="115" spans="1:18" ht="71.25" customHeight="1" x14ac:dyDescent="0.25">
      <c r="A115" s="87">
        <v>3</v>
      </c>
      <c r="B115" s="88" t="s">
        <v>143</v>
      </c>
      <c r="C115" s="89" t="s">
        <v>32</v>
      </c>
      <c r="D115" s="91">
        <v>100</v>
      </c>
      <c r="E115" s="79">
        <v>5260</v>
      </c>
      <c r="F115" s="79">
        <f t="shared" si="10"/>
        <v>526000</v>
      </c>
      <c r="G115" s="79">
        <f t="shared" si="11"/>
        <v>94680</v>
      </c>
      <c r="H115" s="80">
        <f t="shared" si="12"/>
        <v>620680</v>
      </c>
      <c r="I115" s="60"/>
      <c r="J115" s="60">
        <f t="shared" si="13"/>
        <v>100</v>
      </c>
      <c r="K115" s="79">
        <f t="shared" si="14"/>
        <v>0</v>
      </c>
      <c r="L115" s="79">
        <f t="shared" si="15"/>
        <v>0</v>
      </c>
      <c r="M115" s="79">
        <f t="shared" si="16"/>
        <v>0</v>
      </c>
      <c r="N115" s="80">
        <f t="shared" si="9"/>
        <v>0</v>
      </c>
      <c r="O115" s="80">
        <f t="shared" si="17"/>
        <v>526000</v>
      </c>
      <c r="P115" s="60"/>
      <c r="R115" s="70"/>
    </row>
    <row r="116" spans="1:18" ht="71.25" customHeight="1" x14ac:dyDescent="0.25">
      <c r="A116" s="87">
        <v>4</v>
      </c>
      <c r="B116" s="88" t="s">
        <v>144</v>
      </c>
      <c r="C116" s="89" t="s">
        <v>32</v>
      </c>
      <c r="D116" s="91">
        <v>100</v>
      </c>
      <c r="E116" s="79">
        <v>5260</v>
      </c>
      <c r="F116" s="79">
        <f t="shared" si="10"/>
        <v>526000</v>
      </c>
      <c r="G116" s="79">
        <f t="shared" si="11"/>
        <v>94680</v>
      </c>
      <c r="H116" s="80">
        <f t="shared" si="12"/>
        <v>620680</v>
      </c>
      <c r="I116" s="60"/>
      <c r="J116" s="60">
        <f t="shared" si="13"/>
        <v>100</v>
      </c>
      <c r="K116" s="79">
        <f t="shared" si="14"/>
        <v>0</v>
      </c>
      <c r="L116" s="79">
        <f t="shared" si="15"/>
        <v>0</v>
      </c>
      <c r="M116" s="79">
        <f t="shared" si="16"/>
        <v>0</v>
      </c>
      <c r="N116" s="80">
        <f t="shared" si="9"/>
        <v>0</v>
      </c>
      <c r="O116" s="80">
        <f t="shared" si="17"/>
        <v>526000</v>
      </c>
      <c r="P116" s="60"/>
      <c r="R116" s="70"/>
    </row>
    <row r="117" spans="1:18" ht="71.25" customHeight="1" x14ac:dyDescent="0.25">
      <c r="A117" s="81" t="s">
        <v>145</v>
      </c>
      <c r="B117" s="82" t="s">
        <v>146</v>
      </c>
      <c r="C117" s="83"/>
      <c r="D117" s="84"/>
      <c r="E117" s="79"/>
      <c r="F117" s="79"/>
      <c r="G117" s="79"/>
      <c r="H117" s="80"/>
      <c r="I117" s="60"/>
      <c r="J117" s="60"/>
      <c r="K117" s="79"/>
      <c r="L117" s="79"/>
      <c r="M117" s="79"/>
      <c r="N117" s="80"/>
      <c r="O117" s="80"/>
      <c r="P117" s="60"/>
      <c r="R117" s="70"/>
    </row>
    <row r="118" spans="1:18" ht="71.25" customHeight="1" x14ac:dyDescent="0.25">
      <c r="A118" s="87">
        <v>1</v>
      </c>
      <c r="B118" s="88" t="s">
        <v>147</v>
      </c>
      <c r="C118" s="89" t="s">
        <v>32</v>
      </c>
      <c r="D118" s="91">
        <v>100</v>
      </c>
      <c r="E118" s="79">
        <v>2630</v>
      </c>
      <c r="F118" s="79">
        <f t="shared" si="10"/>
        <v>263000</v>
      </c>
      <c r="G118" s="79">
        <f t="shared" si="11"/>
        <v>47340</v>
      </c>
      <c r="H118" s="80">
        <f t="shared" si="12"/>
        <v>310340</v>
      </c>
      <c r="I118" s="60">
        <f>50+30</f>
        <v>80</v>
      </c>
      <c r="J118" s="60">
        <f t="shared" si="13"/>
        <v>20</v>
      </c>
      <c r="K118" s="79">
        <f t="shared" si="14"/>
        <v>210400</v>
      </c>
      <c r="L118" s="79">
        <f t="shared" si="15"/>
        <v>37872</v>
      </c>
      <c r="M118" s="79">
        <f t="shared" si="16"/>
        <v>21040</v>
      </c>
      <c r="N118" s="80">
        <f t="shared" si="9"/>
        <v>227232</v>
      </c>
      <c r="O118" s="80">
        <f t="shared" si="17"/>
        <v>52600</v>
      </c>
      <c r="P118" s="60"/>
      <c r="R118" s="70"/>
    </row>
    <row r="119" spans="1:18" ht="71.25" customHeight="1" x14ac:dyDescent="0.25">
      <c r="A119" s="87">
        <v>2</v>
      </c>
      <c r="B119" s="88" t="s">
        <v>148</v>
      </c>
      <c r="C119" s="89" t="s">
        <v>32</v>
      </c>
      <c r="D119" s="91">
        <v>100</v>
      </c>
      <c r="E119" s="79">
        <v>7890</v>
      </c>
      <c r="F119" s="79">
        <f t="shared" si="10"/>
        <v>789000</v>
      </c>
      <c r="G119" s="79">
        <f t="shared" si="11"/>
        <v>142020</v>
      </c>
      <c r="H119" s="80">
        <f t="shared" si="12"/>
        <v>931020</v>
      </c>
      <c r="I119" s="60"/>
      <c r="J119" s="60">
        <f t="shared" si="13"/>
        <v>100</v>
      </c>
      <c r="K119" s="79">
        <f t="shared" si="14"/>
        <v>0</v>
      </c>
      <c r="L119" s="79">
        <f t="shared" si="15"/>
        <v>0</v>
      </c>
      <c r="M119" s="79">
        <f t="shared" si="16"/>
        <v>0</v>
      </c>
      <c r="N119" s="80">
        <f t="shared" si="9"/>
        <v>0</v>
      </c>
      <c r="O119" s="80">
        <f t="shared" si="17"/>
        <v>789000</v>
      </c>
      <c r="P119" s="60"/>
      <c r="R119" s="70"/>
    </row>
    <row r="120" spans="1:18" ht="71.25" customHeight="1" x14ac:dyDescent="0.25">
      <c r="A120" s="81" t="s">
        <v>149</v>
      </c>
      <c r="B120" s="82" t="s">
        <v>195</v>
      </c>
      <c r="C120" s="83"/>
      <c r="D120" s="84"/>
      <c r="E120" s="79"/>
      <c r="F120" s="79"/>
      <c r="G120" s="79"/>
      <c r="H120" s="80"/>
      <c r="I120" s="60"/>
      <c r="J120" s="60"/>
      <c r="K120" s="79"/>
      <c r="L120" s="79"/>
      <c r="M120" s="79"/>
      <c r="N120" s="80"/>
      <c r="O120" s="80"/>
      <c r="P120" s="60"/>
      <c r="R120" s="70"/>
    </row>
    <row r="121" spans="1:18" ht="71.25" customHeight="1" x14ac:dyDescent="0.25">
      <c r="A121" s="87">
        <v>1</v>
      </c>
      <c r="B121" s="88" t="s">
        <v>196</v>
      </c>
      <c r="C121" s="89" t="s">
        <v>32</v>
      </c>
      <c r="D121" s="91">
        <v>100</v>
      </c>
      <c r="E121" s="79">
        <v>13160</v>
      </c>
      <c r="F121" s="79">
        <f t="shared" ref="F121:F127" si="18">D121*E121</f>
        <v>1316000</v>
      </c>
      <c r="G121" s="79">
        <f t="shared" ref="G121:G127" si="19">F121*18%</f>
        <v>236880</v>
      </c>
      <c r="H121" s="80">
        <f t="shared" ref="H121:H127" si="20">F121+G121</f>
        <v>1552880</v>
      </c>
      <c r="I121" s="60"/>
      <c r="J121" s="60">
        <f t="shared" ref="J121:J127" si="21">D121-I121</f>
        <v>100</v>
      </c>
      <c r="K121" s="79">
        <f t="shared" ref="K121:K127" si="22">I121*E121</f>
        <v>0</v>
      </c>
      <c r="L121" s="79">
        <f t="shared" si="15"/>
        <v>0</v>
      </c>
      <c r="M121" s="79">
        <f t="shared" ref="M121:M127" si="23">K121*10%</f>
        <v>0</v>
      </c>
      <c r="N121" s="80">
        <f t="shared" ref="N121" si="24">SUM(K121:L121)-M121</f>
        <v>0</v>
      </c>
      <c r="O121" s="80">
        <f t="shared" ref="O121:O127" si="25">J121*E121</f>
        <v>1316000</v>
      </c>
      <c r="P121" s="60"/>
      <c r="R121" s="70"/>
    </row>
    <row r="122" spans="1:18" ht="71.25" customHeight="1" x14ac:dyDescent="0.25">
      <c r="A122" s="87">
        <v>2</v>
      </c>
      <c r="B122" s="88" t="s">
        <v>197</v>
      </c>
      <c r="C122" s="89" t="s">
        <v>32</v>
      </c>
      <c r="D122" s="91">
        <v>100</v>
      </c>
      <c r="E122" s="79">
        <v>13160</v>
      </c>
      <c r="F122" s="79">
        <f t="shared" si="18"/>
        <v>1316000</v>
      </c>
      <c r="G122" s="79">
        <f t="shared" si="19"/>
        <v>236880</v>
      </c>
      <c r="H122" s="80">
        <f t="shared" si="20"/>
        <v>1552880</v>
      </c>
      <c r="I122" s="60"/>
      <c r="J122" s="60">
        <f t="shared" si="21"/>
        <v>100</v>
      </c>
      <c r="K122" s="79">
        <f t="shared" si="22"/>
        <v>0</v>
      </c>
      <c r="L122" s="79">
        <f t="shared" si="15"/>
        <v>0</v>
      </c>
      <c r="M122" s="79">
        <f t="shared" si="23"/>
        <v>0</v>
      </c>
      <c r="N122" s="80">
        <f t="shared" ref="N122:N127" si="26">SUM(K122:L122)-M122</f>
        <v>0</v>
      </c>
      <c r="O122" s="80">
        <f t="shared" si="25"/>
        <v>1316000</v>
      </c>
      <c r="P122" s="60"/>
      <c r="R122" s="70"/>
    </row>
    <row r="123" spans="1:18" ht="71.25" customHeight="1" x14ac:dyDescent="0.25">
      <c r="A123" s="87">
        <v>3</v>
      </c>
      <c r="B123" s="88" t="s">
        <v>198</v>
      </c>
      <c r="C123" s="89" t="s">
        <v>32</v>
      </c>
      <c r="D123" s="91">
        <v>100</v>
      </c>
      <c r="E123" s="79">
        <v>5260</v>
      </c>
      <c r="F123" s="79">
        <f t="shared" si="18"/>
        <v>526000</v>
      </c>
      <c r="G123" s="79">
        <f t="shared" si="19"/>
        <v>94680</v>
      </c>
      <c r="H123" s="80">
        <f t="shared" si="20"/>
        <v>620680</v>
      </c>
      <c r="I123" s="60"/>
      <c r="J123" s="60">
        <f t="shared" si="21"/>
        <v>100</v>
      </c>
      <c r="K123" s="79">
        <f t="shared" si="22"/>
        <v>0</v>
      </c>
      <c r="L123" s="79">
        <f t="shared" si="15"/>
        <v>0</v>
      </c>
      <c r="M123" s="79">
        <f t="shared" si="23"/>
        <v>0</v>
      </c>
      <c r="N123" s="80">
        <f t="shared" si="26"/>
        <v>0</v>
      </c>
      <c r="O123" s="80">
        <f t="shared" si="25"/>
        <v>526000</v>
      </c>
      <c r="P123" s="60"/>
      <c r="R123" s="70"/>
    </row>
    <row r="124" spans="1:18" ht="71.25" customHeight="1" x14ac:dyDescent="0.25">
      <c r="A124" s="87">
        <v>4</v>
      </c>
      <c r="B124" s="88" t="s">
        <v>199</v>
      </c>
      <c r="C124" s="89" t="s">
        <v>32</v>
      </c>
      <c r="D124" s="91">
        <v>100</v>
      </c>
      <c r="E124" s="79">
        <v>13160</v>
      </c>
      <c r="F124" s="79">
        <f t="shared" si="18"/>
        <v>1316000</v>
      </c>
      <c r="G124" s="79">
        <f t="shared" si="19"/>
        <v>236880</v>
      </c>
      <c r="H124" s="80">
        <f t="shared" si="20"/>
        <v>1552880</v>
      </c>
      <c r="I124" s="60"/>
      <c r="J124" s="60">
        <f t="shared" si="21"/>
        <v>100</v>
      </c>
      <c r="K124" s="79">
        <f t="shared" si="22"/>
        <v>0</v>
      </c>
      <c r="L124" s="79">
        <f t="shared" si="15"/>
        <v>0</v>
      </c>
      <c r="M124" s="79">
        <f t="shared" si="23"/>
        <v>0</v>
      </c>
      <c r="N124" s="80">
        <f t="shared" si="26"/>
        <v>0</v>
      </c>
      <c r="O124" s="80">
        <f t="shared" si="25"/>
        <v>1316000</v>
      </c>
      <c r="P124" s="60"/>
      <c r="R124" s="70"/>
    </row>
    <row r="125" spans="1:18" ht="71.25" customHeight="1" x14ac:dyDescent="0.25">
      <c r="A125" s="87">
        <v>5</v>
      </c>
      <c r="B125" s="88" t="s">
        <v>200</v>
      </c>
      <c r="C125" s="89" t="s">
        <v>32</v>
      </c>
      <c r="D125" s="91">
        <v>100</v>
      </c>
      <c r="E125" s="79">
        <v>13160</v>
      </c>
      <c r="F125" s="79">
        <f t="shared" si="18"/>
        <v>1316000</v>
      </c>
      <c r="G125" s="79">
        <f t="shared" si="19"/>
        <v>236880</v>
      </c>
      <c r="H125" s="80">
        <f t="shared" si="20"/>
        <v>1552880</v>
      </c>
      <c r="I125" s="60"/>
      <c r="J125" s="60">
        <f t="shared" si="21"/>
        <v>100</v>
      </c>
      <c r="K125" s="79">
        <f t="shared" si="22"/>
        <v>0</v>
      </c>
      <c r="L125" s="79">
        <f t="shared" si="15"/>
        <v>0</v>
      </c>
      <c r="M125" s="79">
        <f t="shared" si="23"/>
        <v>0</v>
      </c>
      <c r="N125" s="80">
        <f t="shared" si="26"/>
        <v>0</v>
      </c>
      <c r="O125" s="80">
        <f t="shared" si="25"/>
        <v>1316000</v>
      </c>
      <c r="P125" s="60"/>
      <c r="R125" s="70"/>
    </row>
    <row r="126" spans="1:18" ht="71.25" customHeight="1" x14ac:dyDescent="0.25">
      <c r="A126" s="87">
        <v>6</v>
      </c>
      <c r="B126" s="88" t="s">
        <v>201</v>
      </c>
      <c r="C126" s="89" t="s">
        <v>32</v>
      </c>
      <c r="D126" s="91">
        <v>100</v>
      </c>
      <c r="E126" s="79">
        <v>5260</v>
      </c>
      <c r="F126" s="79">
        <f t="shared" si="18"/>
        <v>526000</v>
      </c>
      <c r="G126" s="79">
        <f t="shared" si="19"/>
        <v>94680</v>
      </c>
      <c r="H126" s="80">
        <f t="shared" si="20"/>
        <v>620680</v>
      </c>
      <c r="I126" s="60"/>
      <c r="J126" s="60">
        <f t="shared" si="21"/>
        <v>100</v>
      </c>
      <c r="K126" s="79">
        <f t="shared" si="22"/>
        <v>0</v>
      </c>
      <c r="L126" s="79">
        <f t="shared" si="15"/>
        <v>0</v>
      </c>
      <c r="M126" s="79">
        <f t="shared" si="23"/>
        <v>0</v>
      </c>
      <c r="N126" s="80">
        <f t="shared" si="26"/>
        <v>0</v>
      </c>
      <c r="O126" s="80">
        <f t="shared" si="25"/>
        <v>526000</v>
      </c>
      <c r="P126" s="60"/>
      <c r="R126" s="70"/>
    </row>
    <row r="127" spans="1:18" ht="71.25" customHeight="1" x14ac:dyDescent="0.25">
      <c r="A127" s="92" t="s">
        <v>151</v>
      </c>
      <c r="B127" s="93" t="s">
        <v>202</v>
      </c>
      <c r="C127" s="94" t="s">
        <v>32</v>
      </c>
      <c r="D127" s="95">
        <v>100</v>
      </c>
      <c r="E127" s="79">
        <v>184286</v>
      </c>
      <c r="F127" s="79">
        <f t="shared" si="18"/>
        <v>18428600</v>
      </c>
      <c r="G127" s="79">
        <f t="shared" si="19"/>
        <v>3317148</v>
      </c>
      <c r="H127" s="80">
        <f t="shared" si="20"/>
        <v>21745748</v>
      </c>
      <c r="I127" s="60">
        <f>25</f>
        <v>25</v>
      </c>
      <c r="J127" s="60">
        <f t="shared" si="21"/>
        <v>75</v>
      </c>
      <c r="K127" s="79">
        <f t="shared" si="22"/>
        <v>4607150</v>
      </c>
      <c r="L127" s="79">
        <f t="shared" si="15"/>
        <v>829287</v>
      </c>
      <c r="M127" s="79">
        <f t="shared" si="23"/>
        <v>460715</v>
      </c>
      <c r="N127" s="80">
        <f t="shared" si="26"/>
        <v>4975722</v>
      </c>
      <c r="O127" s="80">
        <f t="shared" si="25"/>
        <v>13821450</v>
      </c>
      <c r="P127" s="60"/>
      <c r="R127" s="70"/>
    </row>
    <row r="128" spans="1:18" ht="71.25" customHeight="1" x14ac:dyDescent="0.25">
      <c r="A128" s="81" t="s">
        <v>203</v>
      </c>
      <c r="B128" s="82" t="s">
        <v>152</v>
      </c>
      <c r="C128" s="83"/>
      <c r="D128" s="84"/>
      <c r="E128" s="79"/>
      <c r="F128" s="79"/>
      <c r="G128" s="79"/>
      <c r="H128" s="80"/>
      <c r="I128" s="60"/>
      <c r="J128" s="60"/>
      <c r="K128" s="79"/>
      <c r="L128" s="79"/>
      <c r="M128" s="79"/>
      <c r="N128" s="80"/>
      <c r="O128" s="80"/>
      <c r="P128" s="60"/>
      <c r="R128" s="70"/>
    </row>
    <row r="129" spans="1:18" ht="71.25" customHeight="1" x14ac:dyDescent="0.25">
      <c r="A129" s="87">
        <v>1</v>
      </c>
      <c r="B129" s="88" t="s">
        <v>153</v>
      </c>
      <c r="C129" s="89" t="s">
        <v>32</v>
      </c>
      <c r="D129" s="91">
        <v>100</v>
      </c>
      <c r="E129" s="79">
        <v>5260</v>
      </c>
      <c r="F129" s="79">
        <f t="shared" si="10"/>
        <v>526000</v>
      </c>
      <c r="G129" s="79">
        <f t="shared" si="11"/>
        <v>94680</v>
      </c>
      <c r="H129" s="80">
        <f t="shared" si="12"/>
        <v>620680</v>
      </c>
      <c r="I129" s="60"/>
      <c r="J129" s="60">
        <f t="shared" si="13"/>
        <v>100</v>
      </c>
      <c r="K129" s="79">
        <f t="shared" si="14"/>
        <v>0</v>
      </c>
      <c r="L129" s="79">
        <f t="shared" si="15"/>
        <v>0</v>
      </c>
      <c r="M129" s="79">
        <f t="shared" si="16"/>
        <v>0</v>
      </c>
      <c r="N129" s="80">
        <f t="shared" si="9"/>
        <v>0</v>
      </c>
      <c r="O129" s="80">
        <f t="shared" si="17"/>
        <v>526000</v>
      </c>
      <c r="P129" s="60"/>
      <c r="R129" s="70"/>
    </row>
    <row r="130" spans="1:18" ht="71.25" customHeight="1" x14ac:dyDescent="0.25">
      <c r="A130" s="87">
        <v>2</v>
      </c>
      <c r="B130" s="88" t="s">
        <v>154</v>
      </c>
      <c r="C130" s="89" t="s">
        <v>32</v>
      </c>
      <c r="D130" s="91">
        <v>100</v>
      </c>
      <c r="E130" s="79">
        <v>2630</v>
      </c>
      <c r="F130" s="79">
        <f t="shared" si="10"/>
        <v>263000</v>
      </c>
      <c r="G130" s="79">
        <f t="shared" si="11"/>
        <v>47340</v>
      </c>
      <c r="H130" s="80">
        <f t="shared" si="12"/>
        <v>310340</v>
      </c>
      <c r="I130" s="60"/>
      <c r="J130" s="60">
        <f t="shared" si="13"/>
        <v>100</v>
      </c>
      <c r="K130" s="79">
        <f t="shared" si="14"/>
        <v>0</v>
      </c>
      <c r="L130" s="79">
        <f t="shared" si="15"/>
        <v>0</v>
      </c>
      <c r="M130" s="79">
        <f t="shared" si="16"/>
        <v>0</v>
      </c>
      <c r="N130" s="80">
        <f t="shared" si="9"/>
        <v>0</v>
      </c>
      <c r="O130" s="80">
        <f t="shared" si="17"/>
        <v>263000</v>
      </c>
      <c r="P130" s="60"/>
      <c r="R130" s="70"/>
    </row>
    <row r="131" spans="1:18" ht="71.25" customHeight="1" x14ac:dyDescent="0.25">
      <c r="A131" s="87">
        <v>3</v>
      </c>
      <c r="B131" s="88" t="s">
        <v>155</v>
      </c>
      <c r="C131" s="89" t="s">
        <v>32</v>
      </c>
      <c r="D131" s="91">
        <v>100</v>
      </c>
      <c r="E131" s="79">
        <v>2630</v>
      </c>
      <c r="F131" s="79">
        <f t="shared" si="10"/>
        <v>263000</v>
      </c>
      <c r="G131" s="79">
        <f t="shared" si="11"/>
        <v>47340</v>
      </c>
      <c r="H131" s="80">
        <f t="shared" si="12"/>
        <v>310340</v>
      </c>
      <c r="I131" s="60"/>
      <c r="J131" s="60">
        <f t="shared" si="13"/>
        <v>100</v>
      </c>
      <c r="K131" s="79">
        <f t="shared" si="14"/>
        <v>0</v>
      </c>
      <c r="L131" s="79">
        <f t="shared" si="15"/>
        <v>0</v>
      </c>
      <c r="M131" s="79">
        <f t="shared" si="16"/>
        <v>0</v>
      </c>
      <c r="N131" s="80">
        <f t="shared" si="9"/>
        <v>0</v>
      </c>
      <c r="O131" s="80">
        <f t="shared" si="17"/>
        <v>263000</v>
      </c>
      <c r="P131" s="60"/>
      <c r="R131" s="70"/>
    </row>
    <row r="132" spans="1:18" ht="71.25" customHeight="1" x14ac:dyDescent="0.25">
      <c r="A132" s="87">
        <v>4</v>
      </c>
      <c r="B132" s="88" t="s">
        <v>156</v>
      </c>
      <c r="C132" s="89" t="s">
        <v>32</v>
      </c>
      <c r="D132" s="91">
        <v>100</v>
      </c>
      <c r="E132" s="79">
        <v>2630</v>
      </c>
      <c r="F132" s="79">
        <f t="shared" si="10"/>
        <v>263000</v>
      </c>
      <c r="G132" s="79">
        <f t="shared" si="11"/>
        <v>47340</v>
      </c>
      <c r="H132" s="80">
        <f t="shared" si="12"/>
        <v>310340</v>
      </c>
      <c r="I132" s="60"/>
      <c r="J132" s="60">
        <f t="shared" si="13"/>
        <v>100</v>
      </c>
      <c r="K132" s="79">
        <f t="shared" si="14"/>
        <v>0</v>
      </c>
      <c r="L132" s="79">
        <f t="shared" si="15"/>
        <v>0</v>
      </c>
      <c r="M132" s="79">
        <f t="shared" si="16"/>
        <v>0</v>
      </c>
      <c r="N132" s="80">
        <f t="shared" si="9"/>
        <v>0</v>
      </c>
      <c r="O132" s="80">
        <f t="shared" si="17"/>
        <v>263000</v>
      </c>
      <c r="P132" s="60"/>
      <c r="R132" s="70"/>
    </row>
    <row r="133" spans="1:18" ht="61.5" customHeight="1" x14ac:dyDescent="0.25">
      <c r="A133" s="60">
        <v>5</v>
      </c>
      <c r="B133" s="77" t="s">
        <v>157</v>
      </c>
      <c r="C133" s="88"/>
      <c r="D133" s="96"/>
      <c r="E133" s="79"/>
      <c r="F133" s="96"/>
      <c r="G133" s="79"/>
      <c r="H133" s="80"/>
      <c r="I133" s="60"/>
      <c r="J133" s="60"/>
      <c r="K133" s="79"/>
      <c r="L133" s="79"/>
      <c r="M133" s="79"/>
      <c r="N133" s="80"/>
      <c r="O133" s="80"/>
      <c r="P133" s="60"/>
    </row>
    <row r="134" spans="1:18" ht="61.5" customHeight="1" x14ac:dyDescent="0.25">
      <c r="A134" s="60" t="s">
        <v>158</v>
      </c>
      <c r="B134" s="77" t="s">
        <v>159</v>
      </c>
      <c r="C134" s="97" t="s">
        <v>26</v>
      </c>
      <c r="D134" s="91">
        <v>1</v>
      </c>
      <c r="E134" s="79">
        <v>30000000</v>
      </c>
      <c r="F134" s="79">
        <f>D134*E134</f>
        <v>30000000</v>
      </c>
      <c r="G134" s="79">
        <f t="shared" si="11"/>
        <v>5400000</v>
      </c>
      <c r="H134" s="80">
        <f t="shared" si="12"/>
        <v>35400000</v>
      </c>
      <c r="I134" s="60"/>
      <c r="J134" s="60">
        <f t="shared" si="13"/>
        <v>1</v>
      </c>
      <c r="K134" s="79">
        <f t="shared" si="14"/>
        <v>0</v>
      </c>
      <c r="L134" s="79">
        <f t="shared" si="15"/>
        <v>0</v>
      </c>
      <c r="M134" s="79">
        <f t="shared" si="16"/>
        <v>0</v>
      </c>
      <c r="N134" s="80">
        <f t="shared" si="9"/>
        <v>0</v>
      </c>
      <c r="O134" s="80">
        <f t="shared" si="17"/>
        <v>30000000</v>
      </c>
      <c r="P134" s="60"/>
    </row>
    <row r="135" spans="1:18" ht="37.5" customHeight="1" x14ac:dyDescent="0.25">
      <c r="A135" s="60">
        <v>6</v>
      </c>
      <c r="B135" s="88" t="s">
        <v>160</v>
      </c>
      <c r="C135" s="78" t="s">
        <v>26</v>
      </c>
      <c r="D135" s="78">
        <v>1</v>
      </c>
      <c r="E135" s="79">
        <v>300000</v>
      </c>
      <c r="F135" s="79">
        <f>D135*E135</f>
        <v>300000</v>
      </c>
      <c r="G135" s="79">
        <f t="shared" si="11"/>
        <v>54000</v>
      </c>
      <c r="H135" s="80">
        <f t="shared" si="12"/>
        <v>354000</v>
      </c>
      <c r="I135" s="60"/>
      <c r="J135" s="60">
        <f t="shared" si="13"/>
        <v>1</v>
      </c>
      <c r="K135" s="79">
        <f t="shared" si="14"/>
        <v>0</v>
      </c>
      <c r="L135" s="79">
        <f t="shared" si="15"/>
        <v>0</v>
      </c>
      <c r="M135" s="79">
        <f t="shared" si="16"/>
        <v>0</v>
      </c>
      <c r="N135" s="80">
        <f t="shared" si="9"/>
        <v>0</v>
      </c>
      <c r="O135" s="80">
        <f t="shared" si="17"/>
        <v>300000</v>
      </c>
      <c r="P135" s="60"/>
    </row>
    <row r="136" spans="1:18" ht="37.5" customHeight="1" x14ac:dyDescent="0.25">
      <c r="A136" s="60">
        <v>7</v>
      </c>
      <c r="B136" s="88" t="s">
        <v>161</v>
      </c>
      <c r="C136" s="78" t="s">
        <v>26</v>
      </c>
      <c r="D136" s="78">
        <v>1</v>
      </c>
      <c r="E136" s="79">
        <v>2500000</v>
      </c>
      <c r="F136" s="79">
        <f>D136*E136</f>
        <v>2500000</v>
      </c>
      <c r="G136" s="79">
        <f t="shared" si="11"/>
        <v>450000</v>
      </c>
      <c r="H136" s="80">
        <f t="shared" si="12"/>
        <v>2950000</v>
      </c>
      <c r="I136" s="60"/>
      <c r="J136" s="60">
        <f t="shared" si="13"/>
        <v>1</v>
      </c>
      <c r="K136" s="79">
        <f t="shared" si="14"/>
        <v>0</v>
      </c>
      <c r="L136" s="79">
        <f t="shared" si="15"/>
        <v>0</v>
      </c>
      <c r="M136" s="79">
        <f t="shared" si="16"/>
        <v>0</v>
      </c>
      <c r="N136" s="80">
        <f t="shared" si="9"/>
        <v>0</v>
      </c>
      <c r="O136" s="80">
        <f t="shared" si="17"/>
        <v>2500000</v>
      </c>
      <c r="P136" s="60"/>
    </row>
    <row r="137" spans="1:18" s="98" customFormat="1" ht="18" x14ac:dyDescent="0.25">
      <c r="F137" s="99"/>
      <c r="G137" s="100"/>
    </row>
  </sheetData>
  <mergeCells count="29">
    <mergeCell ref="B128:D128"/>
    <mergeCell ref="B62:D62"/>
    <mergeCell ref="B85:D85"/>
    <mergeCell ref="B100:D100"/>
    <mergeCell ref="B112:D112"/>
    <mergeCell ref="B117:D117"/>
    <mergeCell ref="B120:D120"/>
    <mergeCell ref="L3:L4"/>
    <mergeCell ref="O3:O4"/>
    <mergeCell ref="B5:E5"/>
    <mergeCell ref="B14:D14"/>
    <mergeCell ref="B35:D35"/>
    <mergeCell ref="B42:D42"/>
    <mergeCell ref="F3:F4"/>
    <mergeCell ref="G3:G4"/>
    <mergeCell ref="H3:H4"/>
    <mergeCell ref="I3:I4"/>
    <mergeCell ref="J3:J4"/>
    <mergeCell ref="K3:K4"/>
    <mergeCell ref="A1:P1"/>
    <mergeCell ref="A2:A4"/>
    <mergeCell ref="B2:B4"/>
    <mergeCell ref="C2:H2"/>
    <mergeCell ref="I2:L2"/>
    <mergeCell ref="N2:N4"/>
    <mergeCell ref="P2:P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zoomScale="80" zoomScaleNormal="8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F5" sqref="F5"/>
    </sheetView>
  </sheetViews>
  <sheetFormatPr defaultColWidth="9.140625" defaultRowHeight="15" x14ac:dyDescent="0.25"/>
  <cols>
    <col min="1" max="1" width="7.42578125" style="3" customWidth="1"/>
    <col min="2" max="2" width="27" style="48" customWidth="1"/>
    <col min="3" max="3" width="7.85546875" style="3" customWidth="1"/>
    <col min="4" max="4" width="17.28515625" style="3" customWidth="1"/>
    <col min="5" max="5" width="17.42578125" style="3" customWidth="1"/>
    <col min="6" max="8" width="20.140625" style="3" customWidth="1"/>
    <col min="9" max="10" width="13.28515625" style="3" customWidth="1"/>
    <col min="11" max="11" width="20.140625" style="3" customWidth="1"/>
    <col min="12" max="13" width="17.42578125" style="3" customWidth="1"/>
    <col min="14" max="14" width="18" style="3" customWidth="1"/>
    <col min="15" max="15" width="23.42578125" style="3" customWidth="1"/>
    <col min="16" max="16" width="27.140625" style="3" customWidth="1"/>
    <col min="17" max="17" width="9.140625" style="3"/>
    <col min="18" max="18" width="18.140625" style="3" customWidth="1"/>
    <col min="19" max="16384" width="9.140625" style="3"/>
  </cols>
  <sheetData>
    <row r="1" spans="1:18" ht="29.2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ht="29.25" customHeight="1" x14ac:dyDescent="0.25">
      <c r="A2" s="4" t="s">
        <v>1</v>
      </c>
      <c r="B2" s="5" t="s">
        <v>2</v>
      </c>
      <c r="C2" s="5" t="s">
        <v>3</v>
      </c>
      <c r="D2" s="5"/>
      <c r="E2" s="5"/>
      <c r="F2" s="5"/>
      <c r="G2" s="5"/>
      <c r="H2" s="5"/>
      <c r="I2" s="5"/>
      <c r="J2" s="5"/>
      <c r="K2" s="5"/>
      <c r="L2" s="5"/>
      <c r="M2" s="6"/>
      <c r="N2" s="7" t="s">
        <v>4</v>
      </c>
      <c r="O2" s="8"/>
      <c r="P2" s="9" t="s">
        <v>5</v>
      </c>
    </row>
    <row r="3" spans="1:18" ht="65.25" customHeight="1" x14ac:dyDescent="0.25">
      <c r="A3" s="10"/>
      <c r="B3" s="11"/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1" t="s">
        <v>14</v>
      </c>
      <c r="L3" s="11" t="s">
        <v>15</v>
      </c>
      <c r="M3" s="12" t="s">
        <v>16</v>
      </c>
      <c r="N3" s="13"/>
      <c r="O3" s="11" t="s">
        <v>17</v>
      </c>
      <c r="P3" s="14"/>
    </row>
    <row r="4" spans="1:18" ht="37.5" customHeight="1" thickBot="1" x14ac:dyDescent="0.3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7">
        <v>0.1</v>
      </c>
      <c r="N4" s="18"/>
      <c r="O4" s="16"/>
      <c r="P4" s="19"/>
    </row>
    <row r="5" spans="1:18" ht="37.5" customHeight="1" x14ac:dyDescent="0.25">
      <c r="A5" s="20" t="s">
        <v>18</v>
      </c>
      <c r="B5" s="21" t="s">
        <v>19</v>
      </c>
      <c r="C5" s="21"/>
      <c r="D5" s="21"/>
      <c r="E5" s="21"/>
      <c r="F5" s="22">
        <f>SUM(F6:F134)</f>
        <v>562415950</v>
      </c>
      <c r="G5" s="22">
        <f>SUM(G6:G134)</f>
        <v>101234871</v>
      </c>
      <c r="H5" s="22">
        <f>SUM(H6:H134)</f>
        <v>663650821</v>
      </c>
      <c r="I5" s="12"/>
      <c r="J5" s="20"/>
      <c r="K5" s="22">
        <f>SUM(K6:K134)</f>
        <v>26130889.799999997</v>
      </c>
      <c r="L5" s="22">
        <f t="shared" ref="L5:O5" si="0">SUM(L6:L134)</f>
        <v>3606062.7923999997</v>
      </c>
      <c r="M5" s="22">
        <f t="shared" si="0"/>
        <v>2613088.9800000004</v>
      </c>
      <c r="N5" s="22">
        <f t="shared" si="0"/>
        <v>27123863.612399999</v>
      </c>
      <c r="O5" s="22">
        <f t="shared" si="0"/>
        <v>536285060.19999999</v>
      </c>
      <c r="P5" s="12"/>
      <c r="R5" s="23">
        <f>O5*1.18</f>
        <v>632816371.03599989</v>
      </c>
    </row>
    <row r="6" spans="1:18" s="29" customFormat="1" ht="77.25" customHeight="1" x14ac:dyDescent="0.25">
      <c r="A6" s="24">
        <v>1</v>
      </c>
      <c r="B6" s="25" t="s">
        <v>20</v>
      </c>
      <c r="C6" s="26" t="s">
        <v>21</v>
      </c>
      <c r="D6" s="26">
        <v>1</v>
      </c>
      <c r="E6" s="27">
        <v>5000000</v>
      </c>
      <c r="F6" s="27">
        <f>D6*E6</f>
        <v>5000000</v>
      </c>
      <c r="G6" s="27">
        <f>F6*18%</f>
        <v>900000</v>
      </c>
      <c r="H6" s="28">
        <f>F6+G6</f>
        <v>5900000</v>
      </c>
      <c r="I6" s="24">
        <v>0</v>
      </c>
      <c r="J6" s="24">
        <f>D6-I6</f>
        <v>1</v>
      </c>
      <c r="K6" s="27">
        <f>I6*E6</f>
        <v>0</v>
      </c>
      <c r="L6" s="27">
        <f>K6*13.8%</f>
        <v>0</v>
      </c>
      <c r="M6" s="27">
        <f>K6*10%</f>
        <v>0</v>
      </c>
      <c r="N6" s="28">
        <f>SUM(K6:L6)-M6</f>
        <v>0</v>
      </c>
      <c r="O6" s="28">
        <f>J6*E6</f>
        <v>5000000</v>
      </c>
      <c r="P6" s="24"/>
    </row>
    <row r="7" spans="1:18" s="29" customFormat="1" ht="61.5" customHeight="1" x14ac:dyDescent="0.25">
      <c r="A7" s="24"/>
      <c r="B7" s="25" t="s">
        <v>22</v>
      </c>
      <c r="C7" s="26"/>
      <c r="D7" s="26"/>
      <c r="E7" s="27"/>
      <c r="F7" s="27"/>
      <c r="G7" s="27"/>
      <c r="H7" s="28"/>
      <c r="I7" s="24"/>
      <c r="J7" s="24"/>
      <c r="K7" s="27"/>
      <c r="L7" s="27"/>
      <c r="M7" s="27"/>
      <c r="N7" s="28"/>
      <c r="O7" s="28"/>
      <c r="P7" s="24"/>
    </row>
    <row r="8" spans="1:18" s="29" customFormat="1" ht="30" x14ac:dyDescent="0.25">
      <c r="A8" s="24"/>
      <c r="B8" s="25" t="s">
        <v>23</v>
      </c>
      <c r="C8" s="30" t="s">
        <v>24</v>
      </c>
      <c r="D8" s="31"/>
      <c r="E8" s="32"/>
      <c r="F8" s="32"/>
      <c r="G8" s="32"/>
      <c r="H8" s="28"/>
      <c r="I8" s="24"/>
      <c r="J8" s="24"/>
      <c r="K8" s="27"/>
      <c r="L8" s="27"/>
      <c r="M8" s="27"/>
      <c r="N8" s="28"/>
      <c r="O8" s="28"/>
      <c r="P8" s="24"/>
    </row>
    <row r="9" spans="1:18" s="29" customFormat="1" ht="45" x14ac:dyDescent="0.25">
      <c r="A9" s="24">
        <v>2</v>
      </c>
      <c r="B9" s="25" t="s">
        <v>25</v>
      </c>
      <c r="C9" s="30" t="s">
        <v>26</v>
      </c>
      <c r="D9" s="31">
        <v>1</v>
      </c>
      <c r="E9" s="27">
        <v>64835950</v>
      </c>
      <c r="F9" s="27">
        <f>D9*E9</f>
        <v>64835950</v>
      </c>
      <c r="G9" s="27">
        <f>F9*18%</f>
        <v>11670471</v>
      </c>
      <c r="H9" s="28">
        <f>F9+G9</f>
        <v>76506421</v>
      </c>
      <c r="I9" s="24">
        <v>0</v>
      </c>
      <c r="J9" s="24">
        <f>D9-I9</f>
        <v>1</v>
      </c>
      <c r="K9" s="27">
        <f>I9*E9</f>
        <v>0</v>
      </c>
      <c r="L9" s="27">
        <f>K9*13.8%</f>
        <v>0</v>
      </c>
      <c r="M9" s="27">
        <f>K9*10%</f>
        <v>0</v>
      </c>
      <c r="N9" s="28">
        <f>SUM(K9:L9)-M9</f>
        <v>0</v>
      </c>
      <c r="O9" s="28">
        <f>J9*E9</f>
        <v>64835950</v>
      </c>
      <c r="P9" s="24"/>
    </row>
    <row r="10" spans="1:18" s="29" customFormat="1" ht="37.5" customHeight="1" x14ac:dyDescent="0.25">
      <c r="A10" s="24">
        <v>3</v>
      </c>
      <c r="B10" s="25" t="s">
        <v>27</v>
      </c>
      <c r="C10" s="30" t="s">
        <v>26</v>
      </c>
      <c r="D10" s="31">
        <v>1</v>
      </c>
      <c r="E10" s="27">
        <v>15000000</v>
      </c>
      <c r="F10" s="27">
        <f>D10*E10</f>
        <v>15000000</v>
      </c>
      <c r="G10" s="27">
        <f>F10*18%</f>
        <v>2700000</v>
      </c>
      <c r="H10" s="28">
        <f>F10+G10</f>
        <v>17700000</v>
      </c>
      <c r="I10" s="24">
        <v>0</v>
      </c>
      <c r="J10" s="24">
        <f>D10-I10</f>
        <v>1</v>
      </c>
      <c r="K10" s="27">
        <f>I10*E10</f>
        <v>0</v>
      </c>
      <c r="L10" s="27">
        <f>K10*13.8%</f>
        <v>0</v>
      </c>
      <c r="M10" s="27">
        <f>K10*10%</f>
        <v>0</v>
      </c>
      <c r="N10" s="28">
        <f>SUM(K10:L10)-M10</f>
        <v>0</v>
      </c>
      <c r="O10" s="28">
        <f>J10*E10</f>
        <v>15000000</v>
      </c>
      <c r="P10" s="24"/>
    </row>
    <row r="13" spans="1:18" ht="37.5" customHeight="1" x14ac:dyDescent="0.25">
      <c r="A13" s="12">
        <v>4</v>
      </c>
      <c r="B13" s="33" t="s">
        <v>28</v>
      </c>
      <c r="C13" s="34"/>
      <c r="D13" s="34"/>
      <c r="E13" s="35"/>
      <c r="F13" s="35"/>
      <c r="G13" s="35"/>
      <c r="H13" s="36"/>
      <c r="I13" s="12"/>
      <c r="J13" s="12"/>
      <c r="K13" s="35"/>
      <c r="L13" s="35"/>
      <c r="M13" s="35"/>
      <c r="N13" s="36"/>
      <c r="O13" s="36"/>
      <c r="P13" s="12"/>
      <c r="R13" s="23"/>
    </row>
    <row r="14" spans="1:18" ht="71.25" customHeight="1" x14ac:dyDescent="0.25">
      <c r="A14" s="37" t="s">
        <v>29</v>
      </c>
      <c r="B14" s="38" t="s">
        <v>30</v>
      </c>
      <c r="C14" s="39"/>
      <c r="D14" s="40"/>
      <c r="E14" s="41"/>
      <c r="F14" s="42"/>
      <c r="G14" s="35"/>
      <c r="H14" s="36"/>
      <c r="I14" s="12"/>
      <c r="J14" s="12"/>
      <c r="K14" s="35"/>
      <c r="L14" s="35"/>
      <c r="M14" s="35"/>
      <c r="N14" s="36"/>
      <c r="O14" s="36"/>
      <c r="P14" s="12"/>
      <c r="R14" s="23"/>
    </row>
    <row r="15" spans="1:18" ht="71.25" customHeight="1" x14ac:dyDescent="0.25">
      <c r="A15" s="43">
        <v>1</v>
      </c>
      <c r="B15" s="44" t="s">
        <v>31</v>
      </c>
      <c r="C15" s="12" t="s">
        <v>32</v>
      </c>
      <c r="D15" s="12">
        <v>100</v>
      </c>
      <c r="E15" s="35">
        <v>30440</v>
      </c>
      <c r="F15" s="35">
        <f>D15*E15</f>
        <v>3044000</v>
      </c>
      <c r="G15" s="35">
        <f>F15*18%</f>
        <v>547920</v>
      </c>
      <c r="H15" s="36">
        <f>F15+G15</f>
        <v>3591920</v>
      </c>
      <c r="I15" s="12">
        <f>65.96</f>
        <v>65.959999999999994</v>
      </c>
      <c r="J15" s="12">
        <f>D15-I15</f>
        <v>34.040000000000006</v>
      </c>
      <c r="K15" s="35">
        <f>I15*E15</f>
        <v>2007822.4</v>
      </c>
      <c r="L15" s="35">
        <f>K15*13.8%</f>
        <v>277079.49119999999</v>
      </c>
      <c r="M15" s="35">
        <f>K15*10%</f>
        <v>200782.24</v>
      </c>
      <c r="N15" s="36">
        <f>SUM(K15:L15)-M15</f>
        <v>2084119.6512</v>
      </c>
      <c r="O15" s="36">
        <f>J15*E15</f>
        <v>1036177.6000000002</v>
      </c>
      <c r="P15" s="12"/>
      <c r="R15" s="23"/>
    </row>
    <row r="16" spans="1:18" ht="71.25" customHeight="1" x14ac:dyDescent="0.25">
      <c r="A16" s="43">
        <v>2</v>
      </c>
      <c r="B16" s="44" t="s">
        <v>33</v>
      </c>
      <c r="C16" s="12" t="s">
        <v>32</v>
      </c>
      <c r="D16" s="12">
        <v>100</v>
      </c>
      <c r="E16" s="35">
        <v>26090</v>
      </c>
      <c r="F16" s="35">
        <f t="shared" ref="F16:F79" si="1">D16*E16</f>
        <v>2609000</v>
      </c>
      <c r="G16" s="35">
        <f t="shared" ref="G16:G79" si="2">F16*18%</f>
        <v>469620</v>
      </c>
      <c r="H16" s="36">
        <f t="shared" ref="H16:H79" si="3">F16+G16</f>
        <v>3078620</v>
      </c>
      <c r="I16" s="12">
        <f>31.91</f>
        <v>31.91</v>
      </c>
      <c r="J16" s="12">
        <f t="shared" ref="J16:J79" si="4">D16-I16</f>
        <v>68.09</v>
      </c>
      <c r="K16" s="35">
        <f t="shared" ref="K16:K79" si="5">I16*E16</f>
        <v>832531.9</v>
      </c>
      <c r="L16" s="35">
        <f t="shared" ref="L16:L79" si="6">K16*13.8%</f>
        <v>114889.40220000001</v>
      </c>
      <c r="M16" s="35">
        <f t="shared" ref="M16:M79" si="7">K16*10%</f>
        <v>83253.19</v>
      </c>
      <c r="N16" s="36">
        <f t="shared" ref="N16:N79" si="8">SUM(K16:L16)-M16</f>
        <v>864168.11220000009</v>
      </c>
      <c r="O16" s="36">
        <f t="shared" ref="O16:O79" si="9">J16*E16</f>
        <v>1776468.1</v>
      </c>
      <c r="P16" s="12"/>
      <c r="R16" s="23"/>
    </row>
    <row r="17" spans="1:18" ht="71.25" customHeight="1" x14ac:dyDescent="0.25">
      <c r="A17" s="43">
        <v>3</v>
      </c>
      <c r="B17" s="44" t="s">
        <v>34</v>
      </c>
      <c r="C17" s="12" t="s">
        <v>32</v>
      </c>
      <c r="D17" s="12">
        <v>100</v>
      </c>
      <c r="E17" s="35">
        <v>65220</v>
      </c>
      <c r="F17" s="35">
        <f t="shared" si="1"/>
        <v>6522000</v>
      </c>
      <c r="G17" s="35">
        <f t="shared" si="2"/>
        <v>1173960</v>
      </c>
      <c r="H17" s="36">
        <f t="shared" si="3"/>
        <v>7695960</v>
      </c>
      <c r="I17" s="12"/>
      <c r="J17" s="12">
        <f t="shared" si="4"/>
        <v>100</v>
      </c>
      <c r="K17" s="35">
        <f t="shared" si="5"/>
        <v>0</v>
      </c>
      <c r="L17" s="35">
        <f t="shared" si="6"/>
        <v>0</v>
      </c>
      <c r="M17" s="35">
        <f t="shared" si="7"/>
        <v>0</v>
      </c>
      <c r="N17" s="36">
        <f t="shared" si="8"/>
        <v>0</v>
      </c>
      <c r="O17" s="36">
        <f t="shared" si="9"/>
        <v>6522000</v>
      </c>
      <c r="P17" s="12"/>
      <c r="R17" s="23"/>
    </row>
    <row r="18" spans="1:18" ht="71.25" customHeight="1" x14ac:dyDescent="0.25">
      <c r="A18" s="43">
        <v>4</v>
      </c>
      <c r="B18" s="44" t="s">
        <v>35</v>
      </c>
      <c r="C18" s="12" t="s">
        <v>32</v>
      </c>
      <c r="D18" s="12">
        <v>100</v>
      </c>
      <c r="E18" s="35">
        <v>8680</v>
      </c>
      <c r="F18" s="35">
        <f t="shared" si="1"/>
        <v>868000</v>
      </c>
      <c r="G18" s="35">
        <f t="shared" si="2"/>
        <v>156240</v>
      </c>
      <c r="H18" s="36">
        <f t="shared" si="3"/>
        <v>1024240</v>
      </c>
      <c r="I18" s="12"/>
      <c r="J18" s="12">
        <f t="shared" si="4"/>
        <v>100</v>
      </c>
      <c r="K18" s="35">
        <f t="shared" si="5"/>
        <v>0</v>
      </c>
      <c r="L18" s="35">
        <f t="shared" si="6"/>
        <v>0</v>
      </c>
      <c r="M18" s="35">
        <f t="shared" si="7"/>
        <v>0</v>
      </c>
      <c r="N18" s="36">
        <f t="shared" si="8"/>
        <v>0</v>
      </c>
      <c r="O18" s="36">
        <f t="shared" si="9"/>
        <v>868000</v>
      </c>
      <c r="P18" s="12"/>
      <c r="R18" s="23"/>
    </row>
    <row r="19" spans="1:18" ht="71.25" customHeight="1" x14ac:dyDescent="0.25">
      <c r="A19" s="43">
        <v>5</v>
      </c>
      <c r="B19" s="44" t="s">
        <v>36</v>
      </c>
      <c r="C19" s="12" t="s">
        <v>32</v>
      </c>
      <c r="D19" s="12">
        <v>100</v>
      </c>
      <c r="E19" s="35">
        <v>30440</v>
      </c>
      <c r="F19" s="35">
        <f t="shared" si="1"/>
        <v>3044000</v>
      </c>
      <c r="G19" s="35">
        <f t="shared" si="2"/>
        <v>547920</v>
      </c>
      <c r="H19" s="36">
        <f t="shared" si="3"/>
        <v>3591920</v>
      </c>
      <c r="I19" s="12">
        <f>55.31</f>
        <v>55.31</v>
      </c>
      <c r="J19" s="12">
        <f t="shared" si="4"/>
        <v>44.69</v>
      </c>
      <c r="K19" s="35">
        <f t="shared" si="5"/>
        <v>1683636.4000000001</v>
      </c>
      <c r="L19" s="35">
        <f t="shared" si="6"/>
        <v>232341.82320000004</v>
      </c>
      <c r="M19" s="35">
        <f t="shared" si="7"/>
        <v>168363.64</v>
      </c>
      <c r="N19" s="36">
        <f t="shared" si="8"/>
        <v>1747614.5832000002</v>
      </c>
      <c r="O19" s="36">
        <f t="shared" si="9"/>
        <v>1360363.5999999999</v>
      </c>
      <c r="P19" s="12"/>
      <c r="R19" s="23"/>
    </row>
    <row r="20" spans="1:18" ht="71.25" customHeight="1" x14ac:dyDescent="0.25">
      <c r="A20" s="43">
        <v>6</v>
      </c>
      <c r="B20" s="44" t="s">
        <v>37</v>
      </c>
      <c r="C20" s="12" t="s">
        <v>32</v>
      </c>
      <c r="D20" s="12">
        <v>100</v>
      </c>
      <c r="E20" s="35">
        <v>26090</v>
      </c>
      <c r="F20" s="35">
        <f t="shared" si="1"/>
        <v>2609000</v>
      </c>
      <c r="G20" s="35">
        <f t="shared" si="2"/>
        <v>469620</v>
      </c>
      <c r="H20" s="36">
        <f t="shared" si="3"/>
        <v>3078620</v>
      </c>
      <c r="I20" s="12">
        <f>23.4</f>
        <v>23.4</v>
      </c>
      <c r="J20" s="12">
        <f t="shared" si="4"/>
        <v>76.599999999999994</v>
      </c>
      <c r="K20" s="35">
        <f t="shared" si="5"/>
        <v>610506</v>
      </c>
      <c r="L20" s="35">
        <f t="shared" si="6"/>
        <v>84249.828000000009</v>
      </c>
      <c r="M20" s="35">
        <f t="shared" si="7"/>
        <v>61050.600000000006</v>
      </c>
      <c r="N20" s="36">
        <f t="shared" si="8"/>
        <v>633705.228</v>
      </c>
      <c r="O20" s="36">
        <f t="shared" si="9"/>
        <v>1998493.9999999998</v>
      </c>
      <c r="P20" s="12"/>
      <c r="R20" s="23"/>
    </row>
    <row r="21" spans="1:18" ht="71.25" customHeight="1" x14ac:dyDescent="0.25">
      <c r="A21" s="43">
        <v>7</v>
      </c>
      <c r="B21" s="44" t="s">
        <v>38</v>
      </c>
      <c r="C21" s="12" t="s">
        <v>32</v>
      </c>
      <c r="D21" s="12">
        <v>100</v>
      </c>
      <c r="E21" s="35">
        <v>65220</v>
      </c>
      <c r="F21" s="35">
        <f t="shared" si="1"/>
        <v>6522000</v>
      </c>
      <c r="G21" s="35">
        <f t="shared" si="2"/>
        <v>1173960</v>
      </c>
      <c r="H21" s="36">
        <f t="shared" si="3"/>
        <v>7695960</v>
      </c>
      <c r="I21" s="12"/>
      <c r="J21" s="12">
        <f t="shared" si="4"/>
        <v>100</v>
      </c>
      <c r="K21" s="35">
        <f t="shared" si="5"/>
        <v>0</v>
      </c>
      <c r="L21" s="35">
        <f t="shared" si="6"/>
        <v>0</v>
      </c>
      <c r="M21" s="35">
        <f t="shared" si="7"/>
        <v>0</v>
      </c>
      <c r="N21" s="36">
        <f t="shared" si="8"/>
        <v>0</v>
      </c>
      <c r="O21" s="36">
        <f t="shared" si="9"/>
        <v>6522000</v>
      </c>
      <c r="P21" s="12"/>
      <c r="R21" s="23"/>
    </row>
    <row r="22" spans="1:18" ht="71.25" customHeight="1" x14ac:dyDescent="0.25">
      <c r="A22" s="43">
        <v>8</v>
      </c>
      <c r="B22" s="44" t="s">
        <v>39</v>
      </c>
      <c r="C22" s="12" t="s">
        <v>32</v>
      </c>
      <c r="D22" s="12">
        <v>100</v>
      </c>
      <c r="E22" s="35">
        <v>8680</v>
      </c>
      <c r="F22" s="35">
        <f t="shared" si="1"/>
        <v>868000</v>
      </c>
      <c r="G22" s="35">
        <f t="shared" si="2"/>
        <v>156240</v>
      </c>
      <c r="H22" s="36">
        <f t="shared" si="3"/>
        <v>1024240</v>
      </c>
      <c r="I22" s="12"/>
      <c r="J22" s="12">
        <f t="shared" si="4"/>
        <v>100</v>
      </c>
      <c r="K22" s="35">
        <f t="shared" si="5"/>
        <v>0</v>
      </c>
      <c r="L22" s="35">
        <f t="shared" si="6"/>
        <v>0</v>
      </c>
      <c r="M22" s="35">
        <f t="shared" si="7"/>
        <v>0</v>
      </c>
      <c r="N22" s="36">
        <f t="shared" si="8"/>
        <v>0</v>
      </c>
      <c r="O22" s="36">
        <f t="shared" si="9"/>
        <v>868000</v>
      </c>
      <c r="P22" s="12"/>
      <c r="R22" s="23"/>
    </row>
    <row r="23" spans="1:18" ht="71.25" customHeight="1" x14ac:dyDescent="0.25">
      <c r="A23" s="43">
        <v>9</v>
      </c>
      <c r="B23" s="44" t="s">
        <v>40</v>
      </c>
      <c r="C23" s="12" t="s">
        <v>32</v>
      </c>
      <c r="D23" s="12">
        <v>100</v>
      </c>
      <c r="E23" s="35">
        <v>30440</v>
      </c>
      <c r="F23" s="35">
        <f t="shared" si="1"/>
        <v>3044000</v>
      </c>
      <c r="G23" s="35">
        <f t="shared" si="2"/>
        <v>547920</v>
      </c>
      <c r="H23" s="36">
        <f t="shared" si="3"/>
        <v>3591920</v>
      </c>
      <c r="I23" s="12"/>
      <c r="J23" s="12">
        <f t="shared" si="4"/>
        <v>100</v>
      </c>
      <c r="K23" s="35">
        <f t="shared" si="5"/>
        <v>0</v>
      </c>
      <c r="L23" s="35">
        <f t="shared" si="6"/>
        <v>0</v>
      </c>
      <c r="M23" s="35">
        <f t="shared" si="7"/>
        <v>0</v>
      </c>
      <c r="N23" s="36">
        <f t="shared" si="8"/>
        <v>0</v>
      </c>
      <c r="O23" s="36">
        <f t="shared" si="9"/>
        <v>3044000</v>
      </c>
      <c r="P23" s="12"/>
      <c r="R23" s="23"/>
    </row>
    <row r="24" spans="1:18" ht="71.25" customHeight="1" x14ac:dyDescent="0.25">
      <c r="A24" s="43">
        <v>10</v>
      </c>
      <c r="B24" s="44" t="s">
        <v>41</v>
      </c>
      <c r="C24" s="12" t="s">
        <v>32</v>
      </c>
      <c r="D24" s="12">
        <v>100</v>
      </c>
      <c r="E24" s="35">
        <v>26090</v>
      </c>
      <c r="F24" s="35">
        <f t="shared" si="1"/>
        <v>2609000</v>
      </c>
      <c r="G24" s="35">
        <f t="shared" si="2"/>
        <v>469620</v>
      </c>
      <c r="H24" s="36">
        <f t="shared" si="3"/>
        <v>3078620</v>
      </c>
      <c r="I24" s="12"/>
      <c r="J24" s="12">
        <f t="shared" si="4"/>
        <v>100</v>
      </c>
      <c r="K24" s="35">
        <f t="shared" si="5"/>
        <v>0</v>
      </c>
      <c r="L24" s="35">
        <f t="shared" si="6"/>
        <v>0</v>
      </c>
      <c r="M24" s="35">
        <f t="shared" si="7"/>
        <v>0</v>
      </c>
      <c r="N24" s="36">
        <f t="shared" si="8"/>
        <v>0</v>
      </c>
      <c r="O24" s="36">
        <f t="shared" si="9"/>
        <v>2609000</v>
      </c>
      <c r="P24" s="12"/>
      <c r="R24" s="23"/>
    </row>
    <row r="25" spans="1:18" ht="71.25" customHeight="1" x14ac:dyDescent="0.25">
      <c r="A25" s="43">
        <v>11</v>
      </c>
      <c r="B25" s="44" t="s">
        <v>42</v>
      </c>
      <c r="C25" s="12" t="s">
        <v>32</v>
      </c>
      <c r="D25" s="12">
        <v>100</v>
      </c>
      <c r="E25" s="35">
        <v>65220</v>
      </c>
      <c r="F25" s="35">
        <f t="shared" si="1"/>
        <v>6522000</v>
      </c>
      <c r="G25" s="35">
        <f t="shared" si="2"/>
        <v>1173960</v>
      </c>
      <c r="H25" s="36">
        <f t="shared" si="3"/>
        <v>7695960</v>
      </c>
      <c r="I25" s="12"/>
      <c r="J25" s="12">
        <f t="shared" si="4"/>
        <v>100</v>
      </c>
      <c r="K25" s="35">
        <f t="shared" si="5"/>
        <v>0</v>
      </c>
      <c r="L25" s="35">
        <f t="shared" si="6"/>
        <v>0</v>
      </c>
      <c r="M25" s="35">
        <f t="shared" si="7"/>
        <v>0</v>
      </c>
      <c r="N25" s="36">
        <f t="shared" si="8"/>
        <v>0</v>
      </c>
      <c r="O25" s="36">
        <f t="shared" si="9"/>
        <v>6522000</v>
      </c>
      <c r="P25" s="12"/>
      <c r="R25" s="23"/>
    </row>
    <row r="26" spans="1:18" ht="71.25" customHeight="1" x14ac:dyDescent="0.25">
      <c r="A26" s="43">
        <v>12</v>
      </c>
      <c r="B26" s="44" t="s">
        <v>43</v>
      </c>
      <c r="C26" s="12" t="s">
        <v>32</v>
      </c>
      <c r="D26" s="12">
        <v>100</v>
      </c>
      <c r="E26" s="35">
        <v>8680</v>
      </c>
      <c r="F26" s="35">
        <f t="shared" si="1"/>
        <v>868000</v>
      </c>
      <c r="G26" s="35">
        <f t="shared" si="2"/>
        <v>156240</v>
      </c>
      <c r="H26" s="36">
        <f t="shared" si="3"/>
        <v>1024240</v>
      </c>
      <c r="I26" s="12"/>
      <c r="J26" s="12">
        <f t="shared" si="4"/>
        <v>100</v>
      </c>
      <c r="K26" s="35">
        <f t="shared" si="5"/>
        <v>0</v>
      </c>
      <c r="L26" s="35">
        <f t="shared" si="6"/>
        <v>0</v>
      </c>
      <c r="M26" s="35">
        <f t="shared" si="7"/>
        <v>0</v>
      </c>
      <c r="N26" s="36">
        <f t="shared" si="8"/>
        <v>0</v>
      </c>
      <c r="O26" s="36">
        <f t="shared" si="9"/>
        <v>868000</v>
      </c>
      <c r="P26" s="12"/>
      <c r="R26" s="23"/>
    </row>
    <row r="27" spans="1:18" ht="71.25" customHeight="1" x14ac:dyDescent="0.25">
      <c r="A27" s="43">
        <v>13</v>
      </c>
      <c r="B27" s="44" t="s">
        <v>44</v>
      </c>
      <c r="C27" s="12" t="s">
        <v>32</v>
      </c>
      <c r="D27" s="12">
        <v>100</v>
      </c>
      <c r="E27" s="35">
        <v>30440</v>
      </c>
      <c r="F27" s="35">
        <f t="shared" si="1"/>
        <v>3044000</v>
      </c>
      <c r="G27" s="35">
        <f t="shared" si="2"/>
        <v>547920</v>
      </c>
      <c r="H27" s="36">
        <f t="shared" si="3"/>
        <v>3591920</v>
      </c>
      <c r="I27" s="12">
        <f>76.6</f>
        <v>76.599999999999994</v>
      </c>
      <c r="J27" s="12">
        <f t="shared" si="4"/>
        <v>23.400000000000006</v>
      </c>
      <c r="K27" s="35">
        <f t="shared" si="5"/>
        <v>2331704</v>
      </c>
      <c r="L27" s="35">
        <f t="shared" si="6"/>
        <v>321775.152</v>
      </c>
      <c r="M27" s="35">
        <f t="shared" si="7"/>
        <v>233170.40000000002</v>
      </c>
      <c r="N27" s="36">
        <f t="shared" si="8"/>
        <v>2420308.7519999999</v>
      </c>
      <c r="O27" s="36">
        <f t="shared" si="9"/>
        <v>712296.00000000012</v>
      </c>
      <c r="P27" s="12"/>
      <c r="R27" s="23"/>
    </row>
    <row r="28" spans="1:18" ht="71.25" customHeight="1" x14ac:dyDescent="0.25">
      <c r="A28" s="43">
        <v>14</v>
      </c>
      <c r="B28" s="44" t="s">
        <v>45</v>
      </c>
      <c r="C28" s="12" t="s">
        <v>32</v>
      </c>
      <c r="D28" s="12">
        <v>100</v>
      </c>
      <c r="E28" s="35">
        <v>26090</v>
      </c>
      <c r="F28" s="35">
        <f t="shared" si="1"/>
        <v>2609000</v>
      </c>
      <c r="G28" s="35">
        <f t="shared" si="2"/>
        <v>469620</v>
      </c>
      <c r="H28" s="36">
        <f t="shared" si="3"/>
        <v>3078620</v>
      </c>
      <c r="I28" s="12">
        <f>76.6</f>
        <v>76.599999999999994</v>
      </c>
      <c r="J28" s="12">
        <f t="shared" si="4"/>
        <v>23.400000000000006</v>
      </c>
      <c r="K28" s="35">
        <f t="shared" si="5"/>
        <v>1998493.9999999998</v>
      </c>
      <c r="L28" s="35">
        <f t="shared" si="6"/>
        <v>275792.17199999996</v>
      </c>
      <c r="M28" s="35">
        <f t="shared" si="7"/>
        <v>199849.4</v>
      </c>
      <c r="N28" s="36">
        <f t="shared" si="8"/>
        <v>2074436.7719999999</v>
      </c>
      <c r="O28" s="36">
        <f t="shared" si="9"/>
        <v>610506.00000000012</v>
      </c>
      <c r="P28" s="12"/>
      <c r="R28" s="23"/>
    </row>
    <row r="29" spans="1:18" ht="71.25" customHeight="1" x14ac:dyDescent="0.25">
      <c r="A29" s="43">
        <v>15</v>
      </c>
      <c r="B29" s="44" t="s">
        <v>46</v>
      </c>
      <c r="C29" s="12" t="s">
        <v>32</v>
      </c>
      <c r="D29" s="12">
        <v>100</v>
      </c>
      <c r="E29" s="35">
        <v>65220</v>
      </c>
      <c r="F29" s="35">
        <f t="shared" si="1"/>
        <v>6522000</v>
      </c>
      <c r="G29" s="35">
        <f t="shared" si="2"/>
        <v>1173960</v>
      </c>
      <c r="H29" s="36">
        <f t="shared" si="3"/>
        <v>7695960</v>
      </c>
      <c r="I29" s="12">
        <f>26.81</f>
        <v>26.81</v>
      </c>
      <c r="J29" s="12">
        <f t="shared" si="4"/>
        <v>73.19</v>
      </c>
      <c r="K29" s="35">
        <f t="shared" si="5"/>
        <v>1748548.2</v>
      </c>
      <c r="L29" s="35">
        <f t="shared" si="6"/>
        <v>241299.65160000001</v>
      </c>
      <c r="M29" s="35">
        <f t="shared" si="7"/>
        <v>174854.82</v>
      </c>
      <c r="N29" s="36">
        <f t="shared" si="8"/>
        <v>1814993.0315999999</v>
      </c>
      <c r="O29" s="36">
        <f t="shared" si="9"/>
        <v>4773451.8</v>
      </c>
      <c r="P29" s="12"/>
      <c r="R29" s="23"/>
    </row>
    <row r="30" spans="1:18" ht="71.25" customHeight="1" x14ac:dyDescent="0.25">
      <c r="A30" s="43">
        <v>16</v>
      </c>
      <c r="B30" s="44" t="s">
        <v>47</v>
      </c>
      <c r="C30" s="12" t="s">
        <v>32</v>
      </c>
      <c r="D30" s="12">
        <v>100</v>
      </c>
      <c r="E30" s="35">
        <v>8680</v>
      </c>
      <c r="F30" s="35">
        <f t="shared" si="1"/>
        <v>868000</v>
      </c>
      <c r="G30" s="35">
        <f t="shared" si="2"/>
        <v>156240</v>
      </c>
      <c r="H30" s="36">
        <f t="shared" si="3"/>
        <v>1024240</v>
      </c>
      <c r="I30" s="12"/>
      <c r="J30" s="12">
        <f t="shared" si="4"/>
        <v>100</v>
      </c>
      <c r="K30" s="35">
        <f t="shared" si="5"/>
        <v>0</v>
      </c>
      <c r="L30" s="35">
        <f t="shared" si="6"/>
        <v>0</v>
      </c>
      <c r="M30" s="35">
        <f t="shared" si="7"/>
        <v>0</v>
      </c>
      <c r="N30" s="36">
        <f t="shared" si="8"/>
        <v>0</v>
      </c>
      <c r="O30" s="36">
        <f t="shared" si="9"/>
        <v>868000</v>
      </c>
      <c r="P30" s="12"/>
      <c r="R30" s="23"/>
    </row>
    <row r="31" spans="1:18" ht="71.25" customHeight="1" x14ac:dyDescent="0.25">
      <c r="A31" s="43">
        <v>17</v>
      </c>
      <c r="B31" s="44" t="s">
        <v>48</v>
      </c>
      <c r="C31" s="12" t="s">
        <v>32</v>
      </c>
      <c r="D31" s="12">
        <v>100</v>
      </c>
      <c r="E31" s="35">
        <v>21740</v>
      </c>
      <c r="F31" s="35">
        <f t="shared" si="1"/>
        <v>2174000</v>
      </c>
      <c r="G31" s="35">
        <f t="shared" si="2"/>
        <v>391320</v>
      </c>
      <c r="H31" s="36">
        <f t="shared" si="3"/>
        <v>2565320</v>
      </c>
      <c r="I31" s="12"/>
      <c r="J31" s="12">
        <f t="shared" si="4"/>
        <v>100</v>
      </c>
      <c r="K31" s="35">
        <f t="shared" si="5"/>
        <v>0</v>
      </c>
      <c r="L31" s="35">
        <f t="shared" si="6"/>
        <v>0</v>
      </c>
      <c r="M31" s="35">
        <f t="shared" si="7"/>
        <v>0</v>
      </c>
      <c r="N31" s="36">
        <f t="shared" si="8"/>
        <v>0</v>
      </c>
      <c r="O31" s="36">
        <f t="shared" si="9"/>
        <v>2174000</v>
      </c>
      <c r="P31" s="12"/>
      <c r="R31" s="23"/>
    </row>
    <row r="32" spans="1:18" ht="71.25" customHeight="1" x14ac:dyDescent="0.25">
      <c r="A32" s="43">
        <v>18</v>
      </c>
      <c r="B32" s="44" t="s">
        <v>49</v>
      </c>
      <c r="C32" s="12" t="s">
        <v>32</v>
      </c>
      <c r="D32" s="12">
        <v>100</v>
      </c>
      <c r="E32" s="35">
        <v>17390</v>
      </c>
      <c r="F32" s="35">
        <f t="shared" si="1"/>
        <v>1739000</v>
      </c>
      <c r="G32" s="35">
        <f t="shared" si="2"/>
        <v>313020</v>
      </c>
      <c r="H32" s="36">
        <f t="shared" si="3"/>
        <v>2052020</v>
      </c>
      <c r="I32" s="12"/>
      <c r="J32" s="12">
        <f t="shared" si="4"/>
        <v>100</v>
      </c>
      <c r="K32" s="35">
        <f t="shared" si="5"/>
        <v>0</v>
      </c>
      <c r="L32" s="35">
        <f t="shared" si="6"/>
        <v>0</v>
      </c>
      <c r="M32" s="35">
        <f t="shared" si="7"/>
        <v>0</v>
      </c>
      <c r="N32" s="36">
        <f t="shared" si="8"/>
        <v>0</v>
      </c>
      <c r="O32" s="36">
        <f t="shared" si="9"/>
        <v>1739000</v>
      </c>
      <c r="P32" s="12"/>
      <c r="R32" s="23"/>
    </row>
    <row r="33" spans="1:18" ht="71.25" customHeight="1" x14ac:dyDescent="0.25">
      <c r="A33" s="43">
        <v>19</v>
      </c>
      <c r="B33" s="44" t="s">
        <v>50</v>
      </c>
      <c r="C33" s="12" t="s">
        <v>32</v>
      </c>
      <c r="D33" s="12">
        <v>100</v>
      </c>
      <c r="E33" s="35">
        <v>34780</v>
      </c>
      <c r="F33" s="35">
        <f t="shared" si="1"/>
        <v>3478000</v>
      </c>
      <c r="G33" s="35">
        <f t="shared" si="2"/>
        <v>626040</v>
      </c>
      <c r="H33" s="36">
        <f t="shared" si="3"/>
        <v>4104040</v>
      </c>
      <c r="I33" s="12"/>
      <c r="J33" s="12">
        <f t="shared" si="4"/>
        <v>100</v>
      </c>
      <c r="K33" s="35">
        <f t="shared" si="5"/>
        <v>0</v>
      </c>
      <c r="L33" s="35">
        <f t="shared" si="6"/>
        <v>0</v>
      </c>
      <c r="M33" s="35">
        <f t="shared" si="7"/>
        <v>0</v>
      </c>
      <c r="N33" s="36">
        <f t="shared" si="8"/>
        <v>0</v>
      </c>
      <c r="O33" s="36">
        <f t="shared" si="9"/>
        <v>3478000</v>
      </c>
      <c r="P33" s="12"/>
      <c r="R33" s="23"/>
    </row>
    <row r="34" spans="1:18" ht="71.25" customHeight="1" x14ac:dyDescent="0.25">
      <c r="A34" s="43">
        <v>20</v>
      </c>
      <c r="B34" s="44" t="s">
        <v>51</v>
      </c>
      <c r="C34" s="12" t="s">
        <v>32</v>
      </c>
      <c r="D34" s="12">
        <v>100</v>
      </c>
      <c r="E34" s="35">
        <v>4350</v>
      </c>
      <c r="F34" s="35">
        <f t="shared" si="1"/>
        <v>435000</v>
      </c>
      <c r="G34" s="35">
        <f t="shared" si="2"/>
        <v>78300</v>
      </c>
      <c r="H34" s="36">
        <f t="shared" si="3"/>
        <v>513300</v>
      </c>
      <c r="I34" s="12"/>
      <c r="J34" s="12">
        <f t="shared" si="4"/>
        <v>100</v>
      </c>
      <c r="K34" s="35">
        <f t="shared" si="5"/>
        <v>0</v>
      </c>
      <c r="L34" s="35">
        <f t="shared" si="6"/>
        <v>0</v>
      </c>
      <c r="M34" s="35">
        <f t="shared" si="7"/>
        <v>0</v>
      </c>
      <c r="N34" s="36">
        <f t="shared" si="8"/>
        <v>0</v>
      </c>
      <c r="O34" s="36">
        <f t="shared" si="9"/>
        <v>435000</v>
      </c>
      <c r="P34" s="12"/>
      <c r="R34" s="23"/>
    </row>
    <row r="35" spans="1:18" ht="71.25" customHeight="1" x14ac:dyDescent="0.25">
      <c r="A35" s="43">
        <v>21</v>
      </c>
      <c r="B35" s="44" t="s">
        <v>52</v>
      </c>
      <c r="C35" s="12" t="s">
        <v>32</v>
      </c>
      <c r="D35" s="12">
        <v>100</v>
      </c>
      <c r="E35" s="35">
        <v>30440</v>
      </c>
      <c r="F35" s="35">
        <f t="shared" si="1"/>
        <v>3044000</v>
      </c>
      <c r="G35" s="35">
        <f t="shared" si="2"/>
        <v>547920</v>
      </c>
      <c r="H35" s="36">
        <f t="shared" si="3"/>
        <v>3591920</v>
      </c>
      <c r="I35" s="12">
        <f>87.41</f>
        <v>87.41</v>
      </c>
      <c r="J35" s="12">
        <f t="shared" si="4"/>
        <v>12.590000000000003</v>
      </c>
      <c r="K35" s="35">
        <f t="shared" si="5"/>
        <v>2660760.4</v>
      </c>
      <c r="L35" s="35">
        <f t="shared" si="6"/>
        <v>367184.93520000001</v>
      </c>
      <c r="M35" s="35">
        <f t="shared" si="7"/>
        <v>266076.03999999998</v>
      </c>
      <c r="N35" s="36">
        <f t="shared" si="8"/>
        <v>2761869.2952000001</v>
      </c>
      <c r="O35" s="36">
        <f t="shared" si="9"/>
        <v>383239.60000000009</v>
      </c>
      <c r="P35" s="12"/>
      <c r="R35" s="23"/>
    </row>
    <row r="36" spans="1:18" ht="71.25" customHeight="1" x14ac:dyDescent="0.25">
      <c r="A36" s="43">
        <v>22</v>
      </c>
      <c r="B36" s="44" t="s">
        <v>53</v>
      </c>
      <c r="C36" s="12" t="s">
        <v>32</v>
      </c>
      <c r="D36" s="12">
        <v>100</v>
      </c>
      <c r="E36" s="35">
        <v>26090</v>
      </c>
      <c r="F36" s="35">
        <f t="shared" si="1"/>
        <v>2609000</v>
      </c>
      <c r="G36" s="35">
        <f t="shared" si="2"/>
        <v>469620</v>
      </c>
      <c r="H36" s="36">
        <f t="shared" si="3"/>
        <v>3078620</v>
      </c>
      <c r="I36" s="12">
        <f>87.41</f>
        <v>87.41</v>
      </c>
      <c r="J36" s="12">
        <f t="shared" si="4"/>
        <v>12.590000000000003</v>
      </c>
      <c r="K36" s="35">
        <f t="shared" si="5"/>
        <v>2280526.9</v>
      </c>
      <c r="L36" s="35">
        <f t="shared" si="6"/>
        <v>314712.71220000001</v>
      </c>
      <c r="M36" s="35">
        <f t="shared" si="7"/>
        <v>228052.69</v>
      </c>
      <c r="N36" s="36">
        <f t="shared" si="8"/>
        <v>2367186.9221999999</v>
      </c>
      <c r="O36" s="36">
        <f t="shared" si="9"/>
        <v>328473.10000000009</v>
      </c>
      <c r="P36" s="12"/>
      <c r="R36" s="23"/>
    </row>
    <row r="37" spans="1:18" ht="71.25" customHeight="1" x14ac:dyDescent="0.25">
      <c r="A37" s="43">
        <v>23</v>
      </c>
      <c r="B37" s="44" t="s">
        <v>54</v>
      </c>
      <c r="C37" s="12" t="s">
        <v>32</v>
      </c>
      <c r="D37" s="12">
        <v>100</v>
      </c>
      <c r="E37" s="35">
        <v>65220</v>
      </c>
      <c r="F37" s="35">
        <f t="shared" si="1"/>
        <v>6522000</v>
      </c>
      <c r="G37" s="35">
        <f t="shared" si="2"/>
        <v>1173960</v>
      </c>
      <c r="H37" s="36">
        <f t="shared" si="3"/>
        <v>7695960</v>
      </c>
      <c r="I37" s="12">
        <f>27.97</f>
        <v>27.97</v>
      </c>
      <c r="J37" s="12">
        <f t="shared" si="4"/>
        <v>72.03</v>
      </c>
      <c r="K37" s="35">
        <f t="shared" si="5"/>
        <v>1824203.4</v>
      </c>
      <c r="L37" s="35">
        <f t="shared" si="6"/>
        <v>251740.0692</v>
      </c>
      <c r="M37" s="35">
        <f t="shared" si="7"/>
        <v>182420.34</v>
      </c>
      <c r="N37" s="36">
        <f t="shared" si="8"/>
        <v>1893523.1291999999</v>
      </c>
      <c r="O37" s="36">
        <f t="shared" si="9"/>
        <v>4697796.5999999996</v>
      </c>
      <c r="P37" s="12"/>
      <c r="R37" s="23"/>
    </row>
    <row r="38" spans="1:18" ht="71.25" customHeight="1" x14ac:dyDescent="0.25">
      <c r="A38" s="43">
        <v>24</v>
      </c>
      <c r="B38" s="44" t="s">
        <v>55</v>
      </c>
      <c r="C38" s="12" t="s">
        <v>32</v>
      </c>
      <c r="D38" s="12">
        <v>100</v>
      </c>
      <c r="E38" s="35">
        <v>8680</v>
      </c>
      <c r="F38" s="35">
        <f t="shared" si="1"/>
        <v>868000</v>
      </c>
      <c r="G38" s="35">
        <f t="shared" si="2"/>
        <v>156240</v>
      </c>
      <c r="H38" s="36">
        <f t="shared" si="3"/>
        <v>1024240</v>
      </c>
      <c r="I38" s="12"/>
      <c r="J38" s="12">
        <f t="shared" si="4"/>
        <v>100</v>
      </c>
      <c r="K38" s="35">
        <f t="shared" si="5"/>
        <v>0</v>
      </c>
      <c r="L38" s="35">
        <f t="shared" si="6"/>
        <v>0</v>
      </c>
      <c r="M38" s="35">
        <f t="shared" si="7"/>
        <v>0</v>
      </c>
      <c r="N38" s="36">
        <f t="shared" si="8"/>
        <v>0</v>
      </c>
      <c r="O38" s="36">
        <f t="shared" si="9"/>
        <v>868000</v>
      </c>
      <c r="P38" s="12"/>
      <c r="R38" s="23"/>
    </row>
    <row r="39" spans="1:18" ht="71.25" customHeight="1" x14ac:dyDescent="0.25">
      <c r="A39" s="37" t="s">
        <v>56</v>
      </c>
      <c r="B39" s="38" t="s">
        <v>57</v>
      </c>
      <c r="C39" s="39"/>
      <c r="D39" s="40"/>
      <c r="E39" s="35"/>
      <c r="F39" s="35"/>
      <c r="G39" s="35"/>
      <c r="H39" s="36"/>
      <c r="I39" s="12"/>
      <c r="J39" s="12"/>
      <c r="K39" s="35"/>
      <c r="L39" s="35"/>
      <c r="M39" s="35"/>
      <c r="N39" s="36"/>
      <c r="O39" s="36"/>
      <c r="P39" s="12"/>
      <c r="R39" s="23"/>
    </row>
    <row r="40" spans="1:18" ht="71.25" customHeight="1" x14ac:dyDescent="0.25">
      <c r="A40" s="43">
        <v>1</v>
      </c>
      <c r="B40" s="44" t="s">
        <v>58</v>
      </c>
      <c r="C40" s="12" t="s">
        <v>32</v>
      </c>
      <c r="D40" s="12">
        <v>100</v>
      </c>
      <c r="E40" s="35">
        <v>30430</v>
      </c>
      <c r="F40" s="35">
        <f t="shared" si="1"/>
        <v>3043000</v>
      </c>
      <c r="G40" s="35">
        <f t="shared" si="2"/>
        <v>547740</v>
      </c>
      <c r="H40" s="36">
        <f t="shared" si="3"/>
        <v>3590740</v>
      </c>
      <c r="I40" s="12"/>
      <c r="J40" s="12">
        <f t="shared" si="4"/>
        <v>100</v>
      </c>
      <c r="K40" s="35">
        <f t="shared" si="5"/>
        <v>0</v>
      </c>
      <c r="L40" s="35">
        <f t="shared" si="6"/>
        <v>0</v>
      </c>
      <c r="M40" s="35">
        <f t="shared" si="7"/>
        <v>0</v>
      </c>
      <c r="N40" s="36">
        <f t="shared" si="8"/>
        <v>0</v>
      </c>
      <c r="O40" s="36">
        <f t="shared" si="9"/>
        <v>3043000</v>
      </c>
      <c r="P40" s="12"/>
      <c r="R40" s="23"/>
    </row>
    <row r="41" spans="1:18" ht="71.25" customHeight="1" x14ac:dyDescent="0.25">
      <c r="A41" s="43">
        <v>2</v>
      </c>
      <c r="B41" s="44" t="s">
        <v>59</v>
      </c>
      <c r="C41" s="12" t="s">
        <v>32</v>
      </c>
      <c r="D41" s="12">
        <v>100</v>
      </c>
      <c r="E41" s="35">
        <v>30430</v>
      </c>
      <c r="F41" s="35">
        <f t="shared" si="1"/>
        <v>3043000</v>
      </c>
      <c r="G41" s="35">
        <f t="shared" si="2"/>
        <v>547740</v>
      </c>
      <c r="H41" s="36">
        <f t="shared" si="3"/>
        <v>3590740</v>
      </c>
      <c r="I41" s="12"/>
      <c r="J41" s="12">
        <f t="shared" si="4"/>
        <v>100</v>
      </c>
      <c r="K41" s="35">
        <f t="shared" si="5"/>
        <v>0</v>
      </c>
      <c r="L41" s="35">
        <f t="shared" si="6"/>
        <v>0</v>
      </c>
      <c r="M41" s="35">
        <f t="shared" si="7"/>
        <v>0</v>
      </c>
      <c r="N41" s="36">
        <f t="shared" si="8"/>
        <v>0</v>
      </c>
      <c r="O41" s="36">
        <f t="shared" si="9"/>
        <v>3043000</v>
      </c>
      <c r="P41" s="12"/>
      <c r="R41" s="23"/>
    </row>
    <row r="42" spans="1:18" ht="71.25" customHeight="1" x14ac:dyDescent="0.25">
      <c r="A42" s="43">
        <v>3</v>
      </c>
      <c r="B42" s="44" t="s">
        <v>60</v>
      </c>
      <c r="C42" s="12" t="s">
        <v>32</v>
      </c>
      <c r="D42" s="12">
        <v>100</v>
      </c>
      <c r="E42" s="35">
        <v>30430</v>
      </c>
      <c r="F42" s="35">
        <f t="shared" si="1"/>
        <v>3043000</v>
      </c>
      <c r="G42" s="35">
        <f t="shared" si="2"/>
        <v>547740</v>
      </c>
      <c r="H42" s="36">
        <f t="shared" si="3"/>
        <v>3590740</v>
      </c>
      <c r="I42" s="12"/>
      <c r="J42" s="12">
        <f t="shared" si="4"/>
        <v>100</v>
      </c>
      <c r="K42" s="35">
        <f t="shared" si="5"/>
        <v>0</v>
      </c>
      <c r="L42" s="35">
        <f t="shared" si="6"/>
        <v>0</v>
      </c>
      <c r="M42" s="35">
        <f t="shared" si="7"/>
        <v>0</v>
      </c>
      <c r="N42" s="36">
        <f t="shared" si="8"/>
        <v>0</v>
      </c>
      <c r="O42" s="36">
        <f t="shared" si="9"/>
        <v>3043000</v>
      </c>
      <c r="P42" s="12"/>
      <c r="R42" s="23"/>
    </row>
    <row r="43" spans="1:18" ht="71.25" customHeight="1" x14ac:dyDescent="0.25">
      <c r="A43" s="43">
        <v>4</v>
      </c>
      <c r="B43" s="44" t="s">
        <v>61</v>
      </c>
      <c r="C43" s="12" t="s">
        <v>32</v>
      </c>
      <c r="D43" s="12">
        <v>100</v>
      </c>
      <c r="E43" s="35">
        <v>30430</v>
      </c>
      <c r="F43" s="35">
        <f t="shared" si="1"/>
        <v>3043000</v>
      </c>
      <c r="G43" s="35">
        <f t="shared" si="2"/>
        <v>547740</v>
      </c>
      <c r="H43" s="36">
        <f t="shared" si="3"/>
        <v>3590740</v>
      </c>
      <c r="I43" s="12"/>
      <c r="J43" s="12">
        <f t="shared" si="4"/>
        <v>100</v>
      </c>
      <c r="K43" s="35">
        <f t="shared" si="5"/>
        <v>0</v>
      </c>
      <c r="L43" s="35">
        <f t="shared" si="6"/>
        <v>0</v>
      </c>
      <c r="M43" s="35">
        <f t="shared" si="7"/>
        <v>0</v>
      </c>
      <c r="N43" s="36">
        <f t="shared" si="8"/>
        <v>0</v>
      </c>
      <c r="O43" s="36">
        <f t="shared" si="9"/>
        <v>3043000</v>
      </c>
      <c r="P43" s="12"/>
      <c r="R43" s="23"/>
    </row>
    <row r="44" spans="1:18" ht="71.25" customHeight="1" x14ac:dyDescent="0.25">
      <c r="A44" s="43">
        <v>5</v>
      </c>
      <c r="B44" s="44" t="s">
        <v>62</v>
      </c>
      <c r="C44" s="12" t="s">
        <v>32</v>
      </c>
      <c r="D44" s="12">
        <v>100</v>
      </c>
      <c r="E44" s="35">
        <v>30430</v>
      </c>
      <c r="F44" s="35">
        <f t="shared" si="1"/>
        <v>3043000</v>
      </c>
      <c r="G44" s="35">
        <f t="shared" si="2"/>
        <v>547740</v>
      </c>
      <c r="H44" s="36">
        <f t="shared" si="3"/>
        <v>3590740</v>
      </c>
      <c r="I44" s="12"/>
      <c r="J44" s="12">
        <f t="shared" si="4"/>
        <v>100</v>
      </c>
      <c r="K44" s="35">
        <f t="shared" si="5"/>
        <v>0</v>
      </c>
      <c r="L44" s="35">
        <f t="shared" si="6"/>
        <v>0</v>
      </c>
      <c r="M44" s="35">
        <f t="shared" si="7"/>
        <v>0</v>
      </c>
      <c r="N44" s="36">
        <f t="shared" si="8"/>
        <v>0</v>
      </c>
      <c r="O44" s="36">
        <f t="shared" si="9"/>
        <v>3043000</v>
      </c>
      <c r="P44" s="12"/>
      <c r="R44" s="23"/>
    </row>
    <row r="45" spans="1:18" ht="71.25" customHeight="1" x14ac:dyDescent="0.25">
      <c r="A45" s="43">
        <v>6</v>
      </c>
      <c r="B45" s="44" t="s">
        <v>63</v>
      </c>
      <c r="C45" s="12" t="s">
        <v>32</v>
      </c>
      <c r="D45" s="12">
        <v>100</v>
      </c>
      <c r="E45" s="35">
        <v>30430</v>
      </c>
      <c r="F45" s="35">
        <f t="shared" si="1"/>
        <v>3043000</v>
      </c>
      <c r="G45" s="35">
        <f t="shared" si="2"/>
        <v>547740</v>
      </c>
      <c r="H45" s="36">
        <f t="shared" si="3"/>
        <v>3590740</v>
      </c>
      <c r="I45" s="12"/>
      <c r="J45" s="12">
        <f t="shared" si="4"/>
        <v>100</v>
      </c>
      <c r="K45" s="35">
        <f t="shared" si="5"/>
        <v>0</v>
      </c>
      <c r="L45" s="35">
        <f t="shared" si="6"/>
        <v>0</v>
      </c>
      <c r="M45" s="35">
        <f t="shared" si="7"/>
        <v>0</v>
      </c>
      <c r="N45" s="36">
        <f t="shared" si="8"/>
        <v>0</v>
      </c>
      <c r="O45" s="36">
        <f t="shared" si="9"/>
        <v>3043000</v>
      </c>
      <c r="P45" s="12"/>
      <c r="R45" s="23"/>
    </row>
    <row r="46" spans="1:18" ht="71.25" customHeight="1" x14ac:dyDescent="0.25">
      <c r="A46" s="45"/>
      <c r="B46" s="44" t="s">
        <v>64</v>
      </c>
      <c r="C46" s="12" t="s">
        <v>32</v>
      </c>
      <c r="D46" s="12">
        <v>100</v>
      </c>
      <c r="E46" s="35">
        <v>26100</v>
      </c>
      <c r="F46" s="35">
        <f t="shared" si="1"/>
        <v>2610000</v>
      </c>
      <c r="G46" s="35">
        <f t="shared" si="2"/>
        <v>469800</v>
      </c>
      <c r="H46" s="36">
        <f t="shared" si="3"/>
        <v>3079800</v>
      </c>
      <c r="I46" s="12"/>
      <c r="J46" s="12">
        <f t="shared" si="4"/>
        <v>100</v>
      </c>
      <c r="K46" s="35">
        <f t="shared" si="5"/>
        <v>0</v>
      </c>
      <c r="L46" s="35">
        <f t="shared" si="6"/>
        <v>0</v>
      </c>
      <c r="M46" s="35">
        <f t="shared" si="7"/>
        <v>0</v>
      </c>
      <c r="N46" s="36">
        <f t="shared" si="8"/>
        <v>0</v>
      </c>
      <c r="O46" s="36">
        <f t="shared" si="9"/>
        <v>2610000</v>
      </c>
      <c r="P46" s="12"/>
      <c r="R46" s="23"/>
    </row>
    <row r="47" spans="1:18" ht="71.25" customHeight="1" x14ac:dyDescent="0.25">
      <c r="A47" s="37" t="s">
        <v>65</v>
      </c>
      <c r="B47" s="38" t="s">
        <v>66</v>
      </c>
      <c r="C47" s="39"/>
      <c r="D47" s="40"/>
      <c r="E47" s="35"/>
      <c r="F47" s="35"/>
      <c r="G47" s="35"/>
      <c r="H47" s="36"/>
      <c r="I47" s="12"/>
      <c r="J47" s="12"/>
      <c r="K47" s="35"/>
      <c r="L47" s="35"/>
      <c r="M47" s="35"/>
      <c r="N47" s="36"/>
      <c r="O47" s="36"/>
      <c r="P47" s="12"/>
      <c r="R47" s="23"/>
    </row>
    <row r="48" spans="1:18" ht="71.25" customHeight="1" x14ac:dyDescent="0.25">
      <c r="A48" s="43">
        <v>1</v>
      </c>
      <c r="B48" s="44" t="s">
        <v>67</v>
      </c>
      <c r="C48" s="12" t="s">
        <v>32</v>
      </c>
      <c r="D48" s="12">
        <v>100</v>
      </c>
      <c r="E48" s="35">
        <v>43480</v>
      </c>
      <c r="F48" s="35">
        <f t="shared" si="1"/>
        <v>4348000</v>
      </c>
      <c r="G48" s="35">
        <f t="shared" si="2"/>
        <v>782640</v>
      </c>
      <c r="H48" s="36">
        <f t="shared" si="3"/>
        <v>5130640</v>
      </c>
      <c r="I48" s="12"/>
      <c r="J48" s="12">
        <f t="shared" si="4"/>
        <v>100</v>
      </c>
      <c r="K48" s="35">
        <f t="shared" si="5"/>
        <v>0</v>
      </c>
      <c r="L48" s="35">
        <f t="shared" si="6"/>
        <v>0</v>
      </c>
      <c r="M48" s="35">
        <f t="shared" si="7"/>
        <v>0</v>
      </c>
      <c r="N48" s="36">
        <f t="shared" si="8"/>
        <v>0</v>
      </c>
      <c r="O48" s="36">
        <f t="shared" si="9"/>
        <v>4348000</v>
      </c>
      <c r="P48" s="12"/>
      <c r="R48" s="23"/>
    </row>
    <row r="49" spans="1:18" ht="71.25" customHeight="1" x14ac:dyDescent="0.25">
      <c r="A49" s="43">
        <v>2</v>
      </c>
      <c r="B49" s="44" t="s">
        <v>68</v>
      </c>
      <c r="C49" s="12" t="s">
        <v>32</v>
      </c>
      <c r="D49" s="12">
        <v>100</v>
      </c>
      <c r="E49" s="35">
        <v>43480</v>
      </c>
      <c r="F49" s="35">
        <f t="shared" si="1"/>
        <v>4348000</v>
      </c>
      <c r="G49" s="35">
        <f t="shared" si="2"/>
        <v>782640</v>
      </c>
      <c r="H49" s="36">
        <f t="shared" si="3"/>
        <v>5130640</v>
      </c>
      <c r="I49" s="12"/>
      <c r="J49" s="12">
        <f t="shared" si="4"/>
        <v>100</v>
      </c>
      <c r="K49" s="35">
        <f t="shared" si="5"/>
        <v>0</v>
      </c>
      <c r="L49" s="35">
        <f t="shared" si="6"/>
        <v>0</v>
      </c>
      <c r="M49" s="35">
        <f t="shared" si="7"/>
        <v>0</v>
      </c>
      <c r="N49" s="36">
        <f t="shared" si="8"/>
        <v>0</v>
      </c>
      <c r="O49" s="36">
        <f t="shared" si="9"/>
        <v>4348000</v>
      </c>
      <c r="P49" s="12"/>
      <c r="R49" s="23"/>
    </row>
    <row r="50" spans="1:18" ht="71.25" customHeight="1" x14ac:dyDescent="0.25">
      <c r="A50" s="43">
        <v>3</v>
      </c>
      <c r="B50" s="44" t="s">
        <v>69</v>
      </c>
      <c r="C50" s="12" t="s">
        <v>32</v>
      </c>
      <c r="D50" s="12">
        <v>100</v>
      </c>
      <c r="E50" s="35">
        <v>43480</v>
      </c>
      <c r="F50" s="35">
        <f t="shared" si="1"/>
        <v>4348000</v>
      </c>
      <c r="G50" s="35">
        <f t="shared" si="2"/>
        <v>782640</v>
      </c>
      <c r="H50" s="36">
        <f t="shared" si="3"/>
        <v>5130640</v>
      </c>
      <c r="I50" s="12"/>
      <c r="J50" s="12">
        <f t="shared" si="4"/>
        <v>100</v>
      </c>
      <c r="K50" s="35">
        <f t="shared" si="5"/>
        <v>0</v>
      </c>
      <c r="L50" s="35">
        <f t="shared" si="6"/>
        <v>0</v>
      </c>
      <c r="M50" s="35">
        <f t="shared" si="7"/>
        <v>0</v>
      </c>
      <c r="N50" s="36">
        <f t="shared" si="8"/>
        <v>0</v>
      </c>
      <c r="O50" s="36">
        <f t="shared" si="9"/>
        <v>4348000</v>
      </c>
      <c r="P50" s="12"/>
      <c r="R50" s="23"/>
    </row>
    <row r="51" spans="1:18" ht="71.25" customHeight="1" x14ac:dyDescent="0.25">
      <c r="A51" s="43">
        <v>4</v>
      </c>
      <c r="B51" s="44" t="s">
        <v>70</v>
      </c>
      <c r="C51" s="12" t="s">
        <v>32</v>
      </c>
      <c r="D51" s="12">
        <v>100</v>
      </c>
      <c r="E51" s="35">
        <v>43480</v>
      </c>
      <c r="F51" s="35">
        <f t="shared" si="1"/>
        <v>4348000</v>
      </c>
      <c r="G51" s="35">
        <f t="shared" si="2"/>
        <v>782640</v>
      </c>
      <c r="H51" s="36">
        <f t="shared" si="3"/>
        <v>5130640</v>
      </c>
      <c r="I51" s="12"/>
      <c r="J51" s="12">
        <f t="shared" si="4"/>
        <v>100</v>
      </c>
      <c r="K51" s="35">
        <f t="shared" si="5"/>
        <v>0</v>
      </c>
      <c r="L51" s="35">
        <f t="shared" si="6"/>
        <v>0</v>
      </c>
      <c r="M51" s="35">
        <f t="shared" si="7"/>
        <v>0</v>
      </c>
      <c r="N51" s="36">
        <f t="shared" si="8"/>
        <v>0</v>
      </c>
      <c r="O51" s="36">
        <f t="shared" si="9"/>
        <v>4348000</v>
      </c>
      <c r="P51" s="12"/>
      <c r="R51" s="23"/>
    </row>
    <row r="52" spans="1:18" ht="71.25" customHeight="1" x14ac:dyDescent="0.25">
      <c r="A52" s="43">
        <v>5</v>
      </c>
      <c r="B52" s="44" t="s">
        <v>71</v>
      </c>
      <c r="C52" s="12" t="s">
        <v>32</v>
      </c>
      <c r="D52" s="12">
        <v>100</v>
      </c>
      <c r="E52" s="35">
        <v>43480</v>
      </c>
      <c r="F52" s="35">
        <f t="shared" si="1"/>
        <v>4348000</v>
      </c>
      <c r="G52" s="35">
        <f t="shared" si="2"/>
        <v>782640</v>
      </c>
      <c r="H52" s="36">
        <f t="shared" si="3"/>
        <v>5130640</v>
      </c>
      <c r="I52" s="12"/>
      <c r="J52" s="12">
        <f t="shared" si="4"/>
        <v>100</v>
      </c>
      <c r="K52" s="35">
        <f t="shared" si="5"/>
        <v>0</v>
      </c>
      <c r="L52" s="35">
        <f t="shared" si="6"/>
        <v>0</v>
      </c>
      <c r="M52" s="35">
        <f t="shared" si="7"/>
        <v>0</v>
      </c>
      <c r="N52" s="36">
        <f t="shared" si="8"/>
        <v>0</v>
      </c>
      <c r="O52" s="36">
        <f t="shared" si="9"/>
        <v>4348000</v>
      </c>
      <c r="P52" s="12"/>
      <c r="R52" s="23"/>
    </row>
    <row r="53" spans="1:18" ht="71.25" customHeight="1" x14ac:dyDescent="0.25">
      <c r="A53" s="43">
        <v>6</v>
      </c>
      <c r="B53" s="44" t="s">
        <v>72</v>
      </c>
      <c r="C53" s="12" t="s">
        <v>32</v>
      </c>
      <c r="D53" s="12">
        <v>100</v>
      </c>
      <c r="E53" s="35">
        <v>43480</v>
      </c>
      <c r="F53" s="35">
        <f t="shared" si="1"/>
        <v>4348000</v>
      </c>
      <c r="G53" s="35">
        <f t="shared" si="2"/>
        <v>782640</v>
      </c>
      <c r="H53" s="36">
        <f t="shared" si="3"/>
        <v>5130640</v>
      </c>
      <c r="I53" s="12"/>
      <c r="J53" s="12">
        <f t="shared" si="4"/>
        <v>100</v>
      </c>
      <c r="K53" s="35">
        <f t="shared" si="5"/>
        <v>0</v>
      </c>
      <c r="L53" s="35">
        <f t="shared" si="6"/>
        <v>0</v>
      </c>
      <c r="M53" s="35">
        <f t="shared" si="7"/>
        <v>0</v>
      </c>
      <c r="N53" s="36">
        <f t="shared" si="8"/>
        <v>0</v>
      </c>
      <c r="O53" s="36">
        <f t="shared" si="9"/>
        <v>4348000</v>
      </c>
      <c r="P53" s="12"/>
      <c r="R53" s="23"/>
    </row>
    <row r="54" spans="1:18" ht="71.25" customHeight="1" x14ac:dyDescent="0.25">
      <c r="A54" s="43">
        <v>7</v>
      </c>
      <c r="B54" s="44" t="s">
        <v>73</v>
      </c>
      <c r="C54" s="12" t="s">
        <v>32</v>
      </c>
      <c r="D54" s="12">
        <v>100</v>
      </c>
      <c r="E54" s="35">
        <v>43480</v>
      </c>
      <c r="F54" s="35">
        <f t="shared" si="1"/>
        <v>4348000</v>
      </c>
      <c r="G54" s="35">
        <f t="shared" si="2"/>
        <v>782640</v>
      </c>
      <c r="H54" s="36">
        <f t="shared" si="3"/>
        <v>5130640</v>
      </c>
      <c r="I54" s="12"/>
      <c r="J54" s="12">
        <f t="shared" si="4"/>
        <v>100</v>
      </c>
      <c r="K54" s="35">
        <f t="shared" si="5"/>
        <v>0</v>
      </c>
      <c r="L54" s="35">
        <f t="shared" si="6"/>
        <v>0</v>
      </c>
      <c r="M54" s="35">
        <f t="shared" si="7"/>
        <v>0</v>
      </c>
      <c r="N54" s="36">
        <f t="shared" si="8"/>
        <v>0</v>
      </c>
      <c r="O54" s="36">
        <f t="shared" si="9"/>
        <v>4348000</v>
      </c>
      <c r="P54" s="12"/>
      <c r="R54" s="23"/>
    </row>
    <row r="55" spans="1:18" ht="71.25" customHeight="1" x14ac:dyDescent="0.25">
      <c r="A55" s="43">
        <v>8</v>
      </c>
      <c r="B55" s="44" t="s">
        <v>74</v>
      </c>
      <c r="C55" s="12" t="s">
        <v>32</v>
      </c>
      <c r="D55" s="12">
        <v>100</v>
      </c>
      <c r="E55" s="35">
        <v>43480</v>
      </c>
      <c r="F55" s="35">
        <f t="shared" si="1"/>
        <v>4348000</v>
      </c>
      <c r="G55" s="35">
        <f t="shared" si="2"/>
        <v>782640</v>
      </c>
      <c r="H55" s="36">
        <f t="shared" si="3"/>
        <v>5130640</v>
      </c>
      <c r="I55" s="12"/>
      <c r="J55" s="12">
        <f t="shared" si="4"/>
        <v>100</v>
      </c>
      <c r="K55" s="35">
        <f t="shared" si="5"/>
        <v>0</v>
      </c>
      <c r="L55" s="35">
        <f t="shared" si="6"/>
        <v>0</v>
      </c>
      <c r="M55" s="35">
        <f t="shared" si="7"/>
        <v>0</v>
      </c>
      <c r="N55" s="36">
        <f t="shared" si="8"/>
        <v>0</v>
      </c>
      <c r="O55" s="36">
        <f t="shared" si="9"/>
        <v>4348000</v>
      </c>
      <c r="P55" s="12"/>
      <c r="R55" s="23"/>
    </row>
    <row r="56" spans="1:18" ht="71.25" customHeight="1" x14ac:dyDescent="0.25">
      <c r="A56" s="43">
        <v>9</v>
      </c>
      <c r="B56" s="44" t="s">
        <v>75</v>
      </c>
      <c r="C56" s="12" t="s">
        <v>32</v>
      </c>
      <c r="D56" s="12">
        <v>100</v>
      </c>
      <c r="E56" s="35">
        <v>60870</v>
      </c>
      <c r="F56" s="35">
        <f t="shared" si="1"/>
        <v>6087000</v>
      </c>
      <c r="G56" s="35">
        <f t="shared" si="2"/>
        <v>1095660</v>
      </c>
      <c r="H56" s="36">
        <f t="shared" si="3"/>
        <v>7182660</v>
      </c>
      <c r="I56" s="12"/>
      <c r="J56" s="12">
        <f t="shared" si="4"/>
        <v>100</v>
      </c>
      <c r="K56" s="35">
        <f t="shared" si="5"/>
        <v>0</v>
      </c>
      <c r="L56" s="35">
        <f t="shared" si="6"/>
        <v>0</v>
      </c>
      <c r="M56" s="35">
        <f t="shared" si="7"/>
        <v>0</v>
      </c>
      <c r="N56" s="36">
        <f t="shared" si="8"/>
        <v>0</v>
      </c>
      <c r="O56" s="36">
        <f t="shared" si="9"/>
        <v>6087000</v>
      </c>
      <c r="P56" s="12"/>
      <c r="R56" s="23"/>
    </row>
    <row r="57" spans="1:18" ht="71.25" customHeight="1" x14ac:dyDescent="0.25">
      <c r="A57" s="43">
        <v>10</v>
      </c>
      <c r="B57" s="44" t="s">
        <v>76</v>
      </c>
      <c r="C57" s="12" t="s">
        <v>32</v>
      </c>
      <c r="D57" s="12">
        <v>100</v>
      </c>
      <c r="E57" s="35">
        <v>26080</v>
      </c>
      <c r="F57" s="35">
        <f t="shared" si="1"/>
        <v>2608000</v>
      </c>
      <c r="G57" s="35">
        <f t="shared" si="2"/>
        <v>469440</v>
      </c>
      <c r="H57" s="36">
        <f t="shared" si="3"/>
        <v>3077440</v>
      </c>
      <c r="I57" s="12"/>
      <c r="J57" s="12">
        <f t="shared" si="4"/>
        <v>100</v>
      </c>
      <c r="K57" s="35">
        <f t="shared" si="5"/>
        <v>0</v>
      </c>
      <c r="L57" s="35">
        <f t="shared" si="6"/>
        <v>0</v>
      </c>
      <c r="M57" s="35">
        <f t="shared" si="7"/>
        <v>0</v>
      </c>
      <c r="N57" s="36">
        <f t="shared" si="8"/>
        <v>0</v>
      </c>
      <c r="O57" s="36">
        <f t="shared" si="9"/>
        <v>2608000</v>
      </c>
      <c r="P57" s="12"/>
      <c r="R57" s="23"/>
    </row>
    <row r="58" spans="1:18" ht="71.25" customHeight="1" x14ac:dyDescent="0.25">
      <c r="A58" s="43">
        <v>11</v>
      </c>
      <c r="B58" s="44" t="s">
        <v>77</v>
      </c>
      <c r="C58" s="12" t="s">
        <v>32</v>
      </c>
      <c r="D58" s="12">
        <v>100</v>
      </c>
      <c r="E58" s="35">
        <v>69560</v>
      </c>
      <c r="F58" s="35">
        <f t="shared" si="1"/>
        <v>6956000</v>
      </c>
      <c r="G58" s="35">
        <f t="shared" si="2"/>
        <v>1252080</v>
      </c>
      <c r="H58" s="36">
        <f t="shared" si="3"/>
        <v>8208080</v>
      </c>
      <c r="I58" s="12"/>
      <c r="J58" s="12">
        <f t="shared" si="4"/>
        <v>100</v>
      </c>
      <c r="K58" s="35">
        <f t="shared" si="5"/>
        <v>0</v>
      </c>
      <c r="L58" s="35">
        <f t="shared" si="6"/>
        <v>0</v>
      </c>
      <c r="M58" s="35">
        <f t="shared" si="7"/>
        <v>0</v>
      </c>
      <c r="N58" s="36">
        <f t="shared" si="8"/>
        <v>0</v>
      </c>
      <c r="O58" s="36">
        <f t="shared" si="9"/>
        <v>6956000</v>
      </c>
      <c r="P58" s="12"/>
      <c r="R58" s="23"/>
    </row>
    <row r="59" spans="1:18" ht="71.25" customHeight="1" x14ac:dyDescent="0.25">
      <c r="A59" s="43">
        <v>12</v>
      </c>
      <c r="B59" s="44" t="s">
        <v>78</v>
      </c>
      <c r="C59" s="12" t="s">
        <v>32</v>
      </c>
      <c r="D59" s="12">
        <v>100</v>
      </c>
      <c r="E59" s="35">
        <v>43480</v>
      </c>
      <c r="F59" s="35">
        <f t="shared" si="1"/>
        <v>4348000</v>
      </c>
      <c r="G59" s="35">
        <f t="shared" si="2"/>
        <v>782640</v>
      </c>
      <c r="H59" s="36">
        <f t="shared" si="3"/>
        <v>5130640</v>
      </c>
      <c r="I59" s="12"/>
      <c r="J59" s="12">
        <f t="shared" si="4"/>
        <v>100</v>
      </c>
      <c r="K59" s="35">
        <f t="shared" si="5"/>
        <v>0</v>
      </c>
      <c r="L59" s="35">
        <f t="shared" si="6"/>
        <v>0</v>
      </c>
      <c r="M59" s="35">
        <f t="shared" si="7"/>
        <v>0</v>
      </c>
      <c r="N59" s="36">
        <f t="shared" si="8"/>
        <v>0</v>
      </c>
      <c r="O59" s="36">
        <f t="shared" si="9"/>
        <v>4348000</v>
      </c>
      <c r="P59" s="12"/>
      <c r="R59" s="23"/>
    </row>
    <row r="60" spans="1:18" ht="71.25" customHeight="1" x14ac:dyDescent="0.25">
      <c r="A60" s="43">
        <v>13</v>
      </c>
      <c r="B60" s="44" t="s">
        <v>79</v>
      </c>
      <c r="C60" s="12" t="s">
        <v>32</v>
      </c>
      <c r="D60" s="12">
        <v>100</v>
      </c>
      <c r="E60" s="35">
        <v>13040</v>
      </c>
      <c r="F60" s="35">
        <f t="shared" si="1"/>
        <v>1304000</v>
      </c>
      <c r="G60" s="35">
        <f t="shared" si="2"/>
        <v>234720</v>
      </c>
      <c r="H60" s="36">
        <f t="shared" si="3"/>
        <v>1538720</v>
      </c>
      <c r="I60" s="12"/>
      <c r="J60" s="12">
        <f t="shared" si="4"/>
        <v>100</v>
      </c>
      <c r="K60" s="35">
        <f t="shared" si="5"/>
        <v>0</v>
      </c>
      <c r="L60" s="35">
        <f t="shared" si="6"/>
        <v>0</v>
      </c>
      <c r="M60" s="35">
        <f t="shared" si="7"/>
        <v>0</v>
      </c>
      <c r="N60" s="36">
        <f t="shared" si="8"/>
        <v>0</v>
      </c>
      <c r="O60" s="36">
        <f t="shared" si="9"/>
        <v>1304000</v>
      </c>
      <c r="P60" s="12"/>
      <c r="R60" s="23"/>
    </row>
    <row r="61" spans="1:18" ht="71.25" customHeight="1" x14ac:dyDescent="0.25">
      <c r="A61" s="43">
        <v>14</v>
      </c>
      <c r="B61" s="44" t="s">
        <v>80</v>
      </c>
      <c r="C61" s="12" t="s">
        <v>32</v>
      </c>
      <c r="D61" s="12">
        <v>100</v>
      </c>
      <c r="E61" s="35">
        <v>8700</v>
      </c>
      <c r="F61" s="35">
        <f t="shared" si="1"/>
        <v>870000</v>
      </c>
      <c r="G61" s="35">
        <f t="shared" si="2"/>
        <v>156600</v>
      </c>
      <c r="H61" s="36">
        <f t="shared" si="3"/>
        <v>1026600</v>
      </c>
      <c r="I61" s="12"/>
      <c r="J61" s="12">
        <f t="shared" si="4"/>
        <v>100</v>
      </c>
      <c r="K61" s="35">
        <f t="shared" si="5"/>
        <v>0</v>
      </c>
      <c r="L61" s="35">
        <f t="shared" si="6"/>
        <v>0</v>
      </c>
      <c r="M61" s="35">
        <f t="shared" si="7"/>
        <v>0</v>
      </c>
      <c r="N61" s="36">
        <f t="shared" si="8"/>
        <v>0</v>
      </c>
      <c r="O61" s="36">
        <f t="shared" si="9"/>
        <v>870000</v>
      </c>
      <c r="P61" s="12"/>
      <c r="R61" s="23"/>
    </row>
    <row r="62" spans="1:18" ht="71.25" customHeight="1" x14ac:dyDescent="0.25">
      <c r="A62" s="43">
        <v>15</v>
      </c>
      <c r="B62" s="44" t="s">
        <v>81</v>
      </c>
      <c r="C62" s="12" t="s">
        <v>32</v>
      </c>
      <c r="D62" s="12">
        <v>100</v>
      </c>
      <c r="E62" s="35">
        <v>4340</v>
      </c>
      <c r="F62" s="35">
        <f t="shared" si="1"/>
        <v>434000</v>
      </c>
      <c r="G62" s="35">
        <f t="shared" si="2"/>
        <v>78120</v>
      </c>
      <c r="H62" s="36">
        <f t="shared" si="3"/>
        <v>512120</v>
      </c>
      <c r="I62" s="12"/>
      <c r="J62" s="12">
        <f t="shared" si="4"/>
        <v>100</v>
      </c>
      <c r="K62" s="35">
        <f t="shared" si="5"/>
        <v>0</v>
      </c>
      <c r="L62" s="35">
        <f t="shared" si="6"/>
        <v>0</v>
      </c>
      <c r="M62" s="35">
        <f t="shared" si="7"/>
        <v>0</v>
      </c>
      <c r="N62" s="36">
        <f t="shared" si="8"/>
        <v>0</v>
      </c>
      <c r="O62" s="36">
        <f t="shared" si="9"/>
        <v>434000</v>
      </c>
      <c r="P62" s="12"/>
      <c r="R62" s="23"/>
    </row>
    <row r="63" spans="1:18" ht="71.25" customHeight="1" x14ac:dyDescent="0.25">
      <c r="A63" s="43">
        <v>16</v>
      </c>
      <c r="B63" s="44" t="s">
        <v>82</v>
      </c>
      <c r="C63" s="12" t="s">
        <v>32</v>
      </c>
      <c r="D63" s="12">
        <v>100</v>
      </c>
      <c r="E63" s="35">
        <v>65210</v>
      </c>
      <c r="F63" s="35">
        <f t="shared" si="1"/>
        <v>6521000</v>
      </c>
      <c r="G63" s="35">
        <f t="shared" si="2"/>
        <v>1173780</v>
      </c>
      <c r="H63" s="36">
        <f t="shared" si="3"/>
        <v>7694780</v>
      </c>
      <c r="I63" s="12"/>
      <c r="J63" s="12">
        <f t="shared" si="4"/>
        <v>100</v>
      </c>
      <c r="K63" s="35">
        <f t="shared" si="5"/>
        <v>0</v>
      </c>
      <c r="L63" s="35">
        <f t="shared" si="6"/>
        <v>0</v>
      </c>
      <c r="M63" s="35">
        <f t="shared" si="7"/>
        <v>0</v>
      </c>
      <c r="N63" s="36">
        <f t="shared" si="8"/>
        <v>0</v>
      </c>
      <c r="O63" s="36">
        <f t="shared" si="9"/>
        <v>6521000</v>
      </c>
      <c r="P63" s="12"/>
      <c r="R63" s="23"/>
    </row>
    <row r="64" spans="1:18" ht="71.25" customHeight="1" x14ac:dyDescent="0.25">
      <c r="A64" s="43">
        <v>17</v>
      </c>
      <c r="B64" s="44" t="s">
        <v>83</v>
      </c>
      <c r="C64" s="12" t="s">
        <v>32</v>
      </c>
      <c r="D64" s="12">
        <v>100</v>
      </c>
      <c r="E64" s="35">
        <v>8700</v>
      </c>
      <c r="F64" s="35">
        <f t="shared" si="1"/>
        <v>870000</v>
      </c>
      <c r="G64" s="35">
        <f t="shared" si="2"/>
        <v>156600</v>
      </c>
      <c r="H64" s="36">
        <f t="shared" si="3"/>
        <v>1026600</v>
      </c>
      <c r="I64" s="12"/>
      <c r="J64" s="12">
        <f t="shared" si="4"/>
        <v>100</v>
      </c>
      <c r="K64" s="35">
        <f t="shared" si="5"/>
        <v>0</v>
      </c>
      <c r="L64" s="35">
        <f t="shared" si="6"/>
        <v>0</v>
      </c>
      <c r="M64" s="35">
        <f t="shared" si="7"/>
        <v>0</v>
      </c>
      <c r="N64" s="36">
        <f t="shared" si="8"/>
        <v>0</v>
      </c>
      <c r="O64" s="36">
        <f t="shared" si="9"/>
        <v>870000</v>
      </c>
      <c r="P64" s="12"/>
      <c r="R64" s="23"/>
    </row>
    <row r="65" spans="1:18" ht="71.25" customHeight="1" x14ac:dyDescent="0.25">
      <c r="A65" s="43">
        <v>18</v>
      </c>
      <c r="B65" s="44" t="s">
        <v>84</v>
      </c>
      <c r="C65" s="12" t="s">
        <v>32</v>
      </c>
      <c r="D65" s="12">
        <v>100</v>
      </c>
      <c r="E65" s="35">
        <v>13040</v>
      </c>
      <c r="F65" s="35">
        <f t="shared" si="1"/>
        <v>1304000</v>
      </c>
      <c r="G65" s="35">
        <f t="shared" si="2"/>
        <v>234720</v>
      </c>
      <c r="H65" s="36">
        <f t="shared" si="3"/>
        <v>1538720</v>
      </c>
      <c r="I65" s="12"/>
      <c r="J65" s="12">
        <f t="shared" si="4"/>
        <v>100</v>
      </c>
      <c r="K65" s="35">
        <f t="shared" si="5"/>
        <v>0</v>
      </c>
      <c r="L65" s="35">
        <f t="shared" si="6"/>
        <v>0</v>
      </c>
      <c r="M65" s="35">
        <f t="shared" si="7"/>
        <v>0</v>
      </c>
      <c r="N65" s="36">
        <f t="shared" si="8"/>
        <v>0</v>
      </c>
      <c r="O65" s="36">
        <f t="shared" si="9"/>
        <v>1304000</v>
      </c>
      <c r="P65" s="12"/>
      <c r="R65" s="23"/>
    </row>
    <row r="66" spans="1:18" ht="71.25" customHeight="1" x14ac:dyDescent="0.25">
      <c r="A66" s="43">
        <v>19</v>
      </c>
      <c r="B66" s="44" t="s">
        <v>85</v>
      </c>
      <c r="C66" s="12" t="s">
        <v>32</v>
      </c>
      <c r="D66" s="12">
        <v>100</v>
      </c>
      <c r="E66" s="35">
        <v>34780</v>
      </c>
      <c r="F66" s="35">
        <f t="shared" si="1"/>
        <v>3478000</v>
      </c>
      <c r="G66" s="35">
        <f t="shared" si="2"/>
        <v>626040</v>
      </c>
      <c r="H66" s="36">
        <f t="shared" si="3"/>
        <v>4104040</v>
      </c>
      <c r="I66" s="12"/>
      <c r="J66" s="12">
        <f t="shared" si="4"/>
        <v>100</v>
      </c>
      <c r="K66" s="35">
        <f t="shared" si="5"/>
        <v>0</v>
      </c>
      <c r="L66" s="35">
        <f t="shared" si="6"/>
        <v>0</v>
      </c>
      <c r="M66" s="35">
        <f t="shared" si="7"/>
        <v>0</v>
      </c>
      <c r="N66" s="36">
        <f t="shared" si="8"/>
        <v>0</v>
      </c>
      <c r="O66" s="36">
        <f t="shared" si="9"/>
        <v>3478000</v>
      </c>
      <c r="P66" s="12"/>
      <c r="R66" s="23"/>
    </row>
    <row r="67" spans="1:18" ht="71.25" customHeight="1" x14ac:dyDescent="0.25">
      <c r="A67" s="37" t="s">
        <v>86</v>
      </c>
      <c r="B67" s="38" t="s">
        <v>87</v>
      </c>
      <c r="C67" s="39"/>
      <c r="D67" s="40"/>
      <c r="E67" s="35"/>
      <c r="F67" s="42"/>
      <c r="G67" s="35"/>
      <c r="H67" s="36"/>
      <c r="I67" s="12"/>
      <c r="J67" s="12"/>
      <c r="K67" s="35"/>
      <c r="L67" s="35"/>
      <c r="M67" s="35"/>
      <c r="N67" s="36"/>
      <c r="O67" s="36"/>
      <c r="P67" s="12"/>
      <c r="R67" s="23"/>
    </row>
    <row r="68" spans="1:18" ht="71.25" customHeight="1" x14ac:dyDescent="0.25">
      <c r="A68" s="43">
        <v>1</v>
      </c>
      <c r="B68" s="44" t="s">
        <v>88</v>
      </c>
      <c r="C68" s="12" t="s">
        <v>32</v>
      </c>
      <c r="D68" s="12">
        <v>100</v>
      </c>
      <c r="E68" s="35">
        <v>86950</v>
      </c>
      <c r="F68" s="35">
        <f t="shared" si="1"/>
        <v>8695000</v>
      </c>
      <c r="G68" s="35">
        <f t="shared" si="2"/>
        <v>1565100</v>
      </c>
      <c r="H68" s="36">
        <f t="shared" si="3"/>
        <v>10260100</v>
      </c>
      <c r="I68" s="12">
        <f>34.38</f>
        <v>34.380000000000003</v>
      </c>
      <c r="J68" s="12">
        <f t="shared" si="4"/>
        <v>65.62</v>
      </c>
      <c r="K68" s="35">
        <f t="shared" si="5"/>
        <v>2989341</v>
      </c>
      <c r="L68" s="35">
        <f t="shared" si="6"/>
        <v>412529.05800000002</v>
      </c>
      <c r="M68" s="35">
        <f t="shared" si="7"/>
        <v>298934.10000000003</v>
      </c>
      <c r="N68" s="36">
        <f t="shared" si="8"/>
        <v>3102935.9580000001</v>
      </c>
      <c r="O68" s="36">
        <f t="shared" si="9"/>
        <v>5705659</v>
      </c>
      <c r="P68" s="12"/>
      <c r="R68" s="23"/>
    </row>
    <row r="69" spans="1:18" ht="71.25" customHeight="1" x14ac:dyDescent="0.25">
      <c r="A69" s="43">
        <v>2</v>
      </c>
      <c r="B69" s="44" t="s">
        <v>89</v>
      </c>
      <c r="C69" s="12" t="s">
        <v>32</v>
      </c>
      <c r="D69" s="12">
        <v>100</v>
      </c>
      <c r="E69" s="35">
        <v>86960</v>
      </c>
      <c r="F69" s="35">
        <f t="shared" si="1"/>
        <v>8696000</v>
      </c>
      <c r="G69" s="35">
        <f t="shared" si="2"/>
        <v>1565280</v>
      </c>
      <c r="H69" s="36">
        <f t="shared" si="3"/>
        <v>10261280</v>
      </c>
      <c r="I69" s="12"/>
      <c r="J69" s="12">
        <f t="shared" si="4"/>
        <v>100</v>
      </c>
      <c r="K69" s="35">
        <f t="shared" si="5"/>
        <v>0</v>
      </c>
      <c r="L69" s="35">
        <f t="shared" si="6"/>
        <v>0</v>
      </c>
      <c r="M69" s="35">
        <f t="shared" si="7"/>
        <v>0</v>
      </c>
      <c r="N69" s="36">
        <f t="shared" si="8"/>
        <v>0</v>
      </c>
      <c r="O69" s="36">
        <f t="shared" si="9"/>
        <v>8696000</v>
      </c>
      <c r="P69" s="12"/>
      <c r="R69" s="23"/>
    </row>
    <row r="70" spans="1:18" ht="71.25" customHeight="1" x14ac:dyDescent="0.25">
      <c r="A70" s="43">
        <v>3</v>
      </c>
      <c r="B70" s="44" t="s">
        <v>90</v>
      </c>
      <c r="C70" s="12" t="s">
        <v>32</v>
      </c>
      <c r="D70" s="12">
        <v>100</v>
      </c>
      <c r="E70" s="35">
        <v>86950</v>
      </c>
      <c r="F70" s="35">
        <f t="shared" si="1"/>
        <v>8695000</v>
      </c>
      <c r="G70" s="35">
        <f t="shared" si="2"/>
        <v>1565100</v>
      </c>
      <c r="H70" s="36">
        <f t="shared" si="3"/>
        <v>10260100</v>
      </c>
      <c r="I70" s="12"/>
      <c r="J70" s="12">
        <f t="shared" si="4"/>
        <v>100</v>
      </c>
      <c r="K70" s="35">
        <f t="shared" si="5"/>
        <v>0</v>
      </c>
      <c r="L70" s="35">
        <f t="shared" si="6"/>
        <v>0</v>
      </c>
      <c r="M70" s="35">
        <f t="shared" si="7"/>
        <v>0</v>
      </c>
      <c r="N70" s="36">
        <f t="shared" si="8"/>
        <v>0</v>
      </c>
      <c r="O70" s="36">
        <f t="shared" si="9"/>
        <v>8695000</v>
      </c>
      <c r="P70" s="12"/>
      <c r="R70" s="23"/>
    </row>
    <row r="71" spans="1:18" ht="71.25" customHeight="1" x14ac:dyDescent="0.25">
      <c r="A71" s="43">
        <v>4</v>
      </c>
      <c r="B71" s="44" t="s">
        <v>91</v>
      </c>
      <c r="C71" s="12" t="s">
        <v>32</v>
      </c>
      <c r="D71" s="12">
        <v>100</v>
      </c>
      <c r="E71" s="35">
        <v>52180</v>
      </c>
      <c r="F71" s="35">
        <f t="shared" si="1"/>
        <v>5218000</v>
      </c>
      <c r="G71" s="35">
        <f t="shared" si="2"/>
        <v>939240</v>
      </c>
      <c r="H71" s="36">
        <f t="shared" si="3"/>
        <v>6157240</v>
      </c>
      <c r="I71" s="12"/>
      <c r="J71" s="12">
        <f t="shared" si="4"/>
        <v>100</v>
      </c>
      <c r="K71" s="35">
        <f t="shared" si="5"/>
        <v>0</v>
      </c>
      <c r="L71" s="35">
        <f t="shared" si="6"/>
        <v>0</v>
      </c>
      <c r="M71" s="35">
        <f t="shared" si="7"/>
        <v>0</v>
      </c>
      <c r="N71" s="36">
        <f t="shared" si="8"/>
        <v>0</v>
      </c>
      <c r="O71" s="36">
        <f t="shared" si="9"/>
        <v>5218000</v>
      </c>
      <c r="P71" s="12"/>
      <c r="R71" s="23"/>
    </row>
    <row r="72" spans="1:18" ht="71.25" customHeight="1" x14ac:dyDescent="0.25">
      <c r="A72" s="43">
        <v>5</v>
      </c>
      <c r="B72" s="44" t="s">
        <v>92</v>
      </c>
      <c r="C72" s="12" t="s">
        <v>32</v>
      </c>
      <c r="D72" s="12">
        <v>100</v>
      </c>
      <c r="E72" s="35">
        <v>65210</v>
      </c>
      <c r="F72" s="35">
        <f t="shared" si="1"/>
        <v>6521000</v>
      </c>
      <c r="G72" s="35">
        <f t="shared" si="2"/>
        <v>1173780</v>
      </c>
      <c r="H72" s="36">
        <f t="shared" si="3"/>
        <v>7694780</v>
      </c>
      <c r="I72" s="12"/>
      <c r="J72" s="12">
        <f t="shared" si="4"/>
        <v>100</v>
      </c>
      <c r="K72" s="35">
        <f t="shared" si="5"/>
        <v>0</v>
      </c>
      <c r="L72" s="35">
        <f t="shared" si="6"/>
        <v>0</v>
      </c>
      <c r="M72" s="35">
        <f t="shared" si="7"/>
        <v>0</v>
      </c>
      <c r="N72" s="36">
        <f t="shared" si="8"/>
        <v>0</v>
      </c>
      <c r="O72" s="36">
        <f t="shared" si="9"/>
        <v>6521000</v>
      </c>
      <c r="P72" s="12"/>
      <c r="R72" s="23"/>
    </row>
    <row r="73" spans="1:18" ht="71.25" customHeight="1" x14ac:dyDescent="0.25">
      <c r="A73" s="43">
        <v>6</v>
      </c>
      <c r="B73" s="44" t="s">
        <v>93</v>
      </c>
      <c r="C73" s="12" t="s">
        <v>32</v>
      </c>
      <c r="D73" s="12">
        <v>100</v>
      </c>
      <c r="E73" s="35">
        <v>13040</v>
      </c>
      <c r="F73" s="35">
        <f t="shared" si="1"/>
        <v>1304000</v>
      </c>
      <c r="G73" s="35">
        <f t="shared" si="2"/>
        <v>234720</v>
      </c>
      <c r="H73" s="36">
        <f t="shared" si="3"/>
        <v>1538720</v>
      </c>
      <c r="I73" s="12"/>
      <c r="J73" s="12">
        <f t="shared" si="4"/>
        <v>100</v>
      </c>
      <c r="K73" s="35">
        <f t="shared" si="5"/>
        <v>0</v>
      </c>
      <c r="L73" s="35">
        <f t="shared" si="6"/>
        <v>0</v>
      </c>
      <c r="M73" s="35">
        <f t="shared" si="7"/>
        <v>0</v>
      </c>
      <c r="N73" s="36">
        <f t="shared" si="8"/>
        <v>0</v>
      </c>
      <c r="O73" s="36">
        <f t="shared" si="9"/>
        <v>1304000</v>
      </c>
      <c r="P73" s="12"/>
      <c r="R73" s="23"/>
    </row>
    <row r="74" spans="1:18" ht="71.25" customHeight="1" x14ac:dyDescent="0.25">
      <c r="A74" s="43">
        <v>7</v>
      </c>
      <c r="B74" s="44" t="s">
        <v>94</v>
      </c>
      <c r="C74" s="12" t="s">
        <v>32</v>
      </c>
      <c r="D74" s="12">
        <v>100</v>
      </c>
      <c r="E74" s="35">
        <v>21740</v>
      </c>
      <c r="F74" s="35">
        <f t="shared" si="1"/>
        <v>2174000</v>
      </c>
      <c r="G74" s="35">
        <f t="shared" si="2"/>
        <v>391320</v>
      </c>
      <c r="H74" s="36">
        <f t="shared" si="3"/>
        <v>2565320</v>
      </c>
      <c r="I74" s="12"/>
      <c r="J74" s="12">
        <f t="shared" si="4"/>
        <v>100</v>
      </c>
      <c r="K74" s="35">
        <f t="shared" si="5"/>
        <v>0</v>
      </c>
      <c r="L74" s="35">
        <f t="shared" si="6"/>
        <v>0</v>
      </c>
      <c r="M74" s="35">
        <f t="shared" si="7"/>
        <v>0</v>
      </c>
      <c r="N74" s="36">
        <f t="shared" si="8"/>
        <v>0</v>
      </c>
      <c r="O74" s="36">
        <f t="shared" si="9"/>
        <v>2174000</v>
      </c>
      <c r="P74" s="12"/>
      <c r="R74" s="23"/>
    </row>
    <row r="75" spans="1:18" ht="71.25" customHeight="1" x14ac:dyDescent="0.25">
      <c r="A75" s="43">
        <v>8</v>
      </c>
      <c r="B75" s="44" t="s">
        <v>95</v>
      </c>
      <c r="C75" s="12" t="s">
        <v>32</v>
      </c>
      <c r="D75" s="12">
        <v>100</v>
      </c>
      <c r="E75" s="35">
        <v>43480</v>
      </c>
      <c r="F75" s="35">
        <f t="shared" si="1"/>
        <v>4348000</v>
      </c>
      <c r="G75" s="35">
        <f t="shared" si="2"/>
        <v>782640</v>
      </c>
      <c r="H75" s="36">
        <f t="shared" si="3"/>
        <v>5130640</v>
      </c>
      <c r="I75" s="12"/>
      <c r="J75" s="12">
        <f t="shared" si="4"/>
        <v>100</v>
      </c>
      <c r="K75" s="35">
        <f t="shared" si="5"/>
        <v>0</v>
      </c>
      <c r="L75" s="35">
        <f t="shared" si="6"/>
        <v>0</v>
      </c>
      <c r="M75" s="35">
        <f t="shared" si="7"/>
        <v>0</v>
      </c>
      <c r="N75" s="36">
        <f t="shared" si="8"/>
        <v>0</v>
      </c>
      <c r="O75" s="36">
        <f t="shared" si="9"/>
        <v>4348000</v>
      </c>
      <c r="P75" s="12"/>
      <c r="R75" s="23"/>
    </row>
    <row r="76" spans="1:18" ht="71.25" customHeight="1" x14ac:dyDescent="0.25">
      <c r="A76" s="43">
        <v>9</v>
      </c>
      <c r="B76" s="44" t="s">
        <v>96</v>
      </c>
      <c r="C76" s="12" t="s">
        <v>32</v>
      </c>
      <c r="D76" s="12">
        <v>100</v>
      </c>
      <c r="E76" s="35">
        <v>21740</v>
      </c>
      <c r="F76" s="35">
        <f t="shared" si="1"/>
        <v>2174000</v>
      </c>
      <c r="G76" s="35">
        <f t="shared" si="2"/>
        <v>391320</v>
      </c>
      <c r="H76" s="36">
        <f t="shared" si="3"/>
        <v>2565320</v>
      </c>
      <c r="I76" s="12"/>
      <c r="J76" s="12">
        <f t="shared" si="4"/>
        <v>100</v>
      </c>
      <c r="K76" s="35">
        <f t="shared" si="5"/>
        <v>0</v>
      </c>
      <c r="L76" s="35">
        <f t="shared" si="6"/>
        <v>0</v>
      </c>
      <c r="M76" s="35">
        <f t="shared" si="7"/>
        <v>0</v>
      </c>
      <c r="N76" s="36">
        <f t="shared" si="8"/>
        <v>0</v>
      </c>
      <c r="O76" s="36">
        <f t="shared" si="9"/>
        <v>2174000</v>
      </c>
      <c r="P76" s="12"/>
      <c r="R76" s="23"/>
    </row>
    <row r="77" spans="1:18" ht="71.25" customHeight="1" x14ac:dyDescent="0.25">
      <c r="A77" s="43">
        <v>10</v>
      </c>
      <c r="B77" s="44" t="s">
        <v>97</v>
      </c>
      <c r="C77" s="12" t="s">
        <v>32</v>
      </c>
      <c r="D77" s="12">
        <v>100</v>
      </c>
      <c r="E77" s="35">
        <v>21740</v>
      </c>
      <c r="F77" s="35">
        <f t="shared" si="1"/>
        <v>2174000</v>
      </c>
      <c r="G77" s="35">
        <f t="shared" si="2"/>
        <v>391320</v>
      </c>
      <c r="H77" s="36">
        <f t="shared" si="3"/>
        <v>2565320</v>
      </c>
      <c r="I77" s="12"/>
      <c r="J77" s="12">
        <f t="shared" si="4"/>
        <v>100</v>
      </c>
      <c r="K77" s="35">
        <f t="shared" si="5"/>
        <v>0</v>
      </c>
      <c r="L77" s="35">
        <f t="shared" si="6"/>
        <v>0</v>
      </c>
      <c r="M77" s="35">
        <f t="shared" si="7"/>
        <v>0</v>
      </c>
      <c r="N77" s="36">
        <f t="shared" si="8"/>
        <v>0</v>
      </c>
      <c r="O77" s="36">
        <f t="shared" si="9"/>
        <v>2174000</v>
      </c>
      <c r="P77" s="12"/>
      <c r="R77" s="23"/>
    </row>
    <row r="78" spans="1:18" ht="71.25" customHeight="1" x14ac:dyDescent="0.25">
      <c r="A78" s="43">
        <v>11</v>
      </c>
      <c r="B78" s="44" t="s">
        <v>98</v>
      </c>
      <c r="C78" s="12" t="s">
        <v>32</v>
      </c>
      <c r="D78" s="12">
        <v>100</v>
      </c>
      <c r="E78" s="35">
        <v>43470</v>
      </c>
      <c r="F78" s="35">
        <f t="shared" si="1"/>
        <v>4347000</v>
      </c>
      <c r="G78" s="35">
        <f t="shared" si="2"/>
        <v>782460</v>
      </c>
      <c r="H78" s="36">
        <f t="shared" si="3"/>
        <v>5129460</v>
      </c>
      <c r="I78" s="12"/>
      <c r="J78" s="12">
        <f t="shared" si="4"/>
        <v>100</v>
      </c>
      <c r="K78" s="35">
        <f t="shared" si="5"/>
        <v>0</v>
      </c>
      <c r="L78" s="35">
        <f t="shared" si="6"/>
        <v>0</v>
      </c>
      <c r="M78" s="35">
        <f t="shared" si="7"/>
        <v>0</v>
      </c>
      <c r="N78" s="36">
        <f t="shared" si="8"/>
        <v>0</v>
      </c>
      <c r="O78" s="36">
        <f t="shared" si="9"/>
        <v>4347000</v>
      </c>
      <c r="P78" s="12"/>
      <c r="R78" s="23"/>
    </row>
    <row r="79" spans="1:18" ht="71.25" customHeight="1" x14ac:dyDescent="0.25">
      <c r="A79" s="43">
        <v>12</v>
      </c>
      <c r="B79" s="44" t="s">
        <v>99</v>
      </c>
      <c r="C79" s="12" t="s">
        <v>32</v>
      </c>
      <c r="D79" s="12">
        <v>100</v>
      </c>
      <c r="E79" s="35">
        <v>21740</v>
      </c>
      <c r="F79" s="35">
        <f t="shared" si="1"/>
        <v>2174000</v>
      </c>
      <c r="G79" s="35">
        <f t="shared" si="2"/>
        <v>391320</v>
      </c>
      <c r="H79" s="36">
        <f t="shared" si="3"/>
        <v>2565320</v>
      </c>
      <c r="I79" s="12"/>
      <c r="J79" s="12">
        <f t="shared" si="4"/>
        <v>100</v>
      </c>
      <c r="K79" s="35">
        <f t="shared" si="5"/>
        <v>0</v>
      </c>
      <c r="L79" s="35">
        <f t="shared" si="6"/>
        <v>0</v>
      </c>
      <c r="M79" s="35">
        <f t="shared" si="7"/>
        <v>0</v>
      </c>
      <c r="N79" s="36">
        <f t="shared" si="8"/>
        <v>0</v>
      </c>
      <c r="O79" s="36">
        <f t="shared" si="9"/>
        <v>2174000</v>
      </c>
      <c r="P79" s="12"/>
      <c r="R79" s="23"/>
    </row>
    <row r="80" spans="1:18" ht="71.25" customHeight="1" x14ac:dyDescent="0.25">
      <c r="A80" s="43">
        <v>13</v>
      </c>
      <c r="B80" s="44" t="s">
        <v>100</v>
      </c>
      <c r="C80" s="12" t="s">
        <v>32</v>
      </c>
      <c r="D80" s="12">
        <v>100</v>
      </c>
      <c r="E80" s="35">
        <v>43480</v>
      </c>
      <c r="F80" s="35">
        <f t="shared" ref="F80:F130" si="10">D80*E80</f>
        <v>4348000</v>
      </c>
      <c r="G80" s="35">
        <f t="shared" ref="G80:G134" si="11">F80*18%</f>
        <v>782640</v>
      </c>
      <c r="H80" s="36">
        <f t="shared" ref="H80:H134" si="12">F80+G80</f>
        <v>5130640</v>
      </c>
      <c r="I80" s="12"/>
      <c r="J80" s="12">
        <f t="shared" ref="J80:J134" si="13">D80-I80</f>
        <v>100</v>
      </c>
      <c r="K80" s="35">
        <f t="shared" ref="K80:K134" si="14">I80*E80</f>
        <v>0</v>
      </c>
      <c r="L80" s="35">
        <f t="shared" ref="L80:L134" si="15">K80*13.8%</f>
        <v>0</v>
      </c>
      <c r="M80" s="35">
        <f t="shared" ref="M80:M134" si="16">K80*10%</f>
        <v>0</v>
      </c>
      <c r="N80" s="36">
        <f t="shared" ref="N80:N134" si="17">SUM(K80:L80)-M80</f>
        <v>0</v>
      </c>
      <c r="O80" s="36">
        <f t="shared" ref="O80:O134" si="18">J80*E80</f>
        <v>4348000</v>
      </c>
      <c r="P80" s="12"/>
      <c r="R80" s="23"/>
    </row>
    <row r="81" spans="1:18" ht="71.25" customHeight="1" x14ac:dyDescent="0.25">
      <c r="A81" s="43">
        <v>14</v>
      </c>
      <c r="B81" s="44" t="s">
        <v>101</v>
      </c>
      <c r="C81" s="12" t="s">
        <v>32</v>
      </c>
      <c r="D81" s="12">
        <v>100</v>
      </c>
      <c r="E81" s="35">
        <v>21740</v>
      </c>
      <c r="F81" s="35">
        <f t="shared" si="10"/>
        <v>2174000</v>
      </c>
      <c r="G81" s="35">
        <f t="shared" si="11"/>
        <v>391320</v>
      </c>
      <c r="H81" s="36">
        <f t="shared" si="12"/>
        <v>2565320</v>
      </c>
      <c r="I81" s="12"/>
      <c r="J81" s="12">
        <f t="shared" si="13"/>
        <v>100</v>
      </c>
      <c r="K81" s="35">
        <f t="shared" si="14"/>
        <v>0</v>
      </c>
      <c r="L81" s="35">
        <f t="shared" si="15"/>
        <v>0</v>
      </c>
      <c r="M81" s="35">
        <f t="shared" si="16"/>
        <v>0</v>
      </c>
      <c r="N81" s="36">
        <f t="shared" si="17"/>
        <v>0</v>
      </c>
      <c r="O81" s="36">
        <f t="shared" si="18"/>
        <v>2174000</v>
      </c>
      <c r="P81" s="12"/>
      <c r="R81" s="23"/>
    </row>
    <row r="82" spans="1:18" ht="71.25" customHeight="1" x14ac:dyDescent="0.25">
      <c r="A82" s="43">
        <v>15</v>
      </c>
      <c r="B82" s="44" t="s">
        <v>102</v>
      </c>
      <c r="C82" s="12" t="s">
        <v>32</v>
      </c>
      <c r="D82" s="12">
        <v>100</v>
      </c>
      <c r="E82" s="35">
        <v>43480</v>
      </c>
      <c r="F82" s="35">
        <f t="shared" si="10"/>
        <v>4348000</v>
      </c>
      <c r="G82" s="35">
        <f t="shared" si="11"/>
        <v>782640</v>
      </c>
      <c r="H82" s="36">
        <f t="shared" si="12"/>
        <v>5130640</v>
      </c>
      <c r="I82" s="12"/>
      <c r="J82" s="12">
        <f t="shared" si="13"/>
        <v>100</v>
      </c>
      <c r="K82" s="35">
        <f t="shared" si="14"/>
        <v>0</v>
      </c>
      <c r="L82" s="35">
        <f t="shared" si="15"/>
        <v>0</v>
      </c>
      <c r="M82" s="35">
        <f t="shared" si="16"/>
        <v>0</v>
      </c>
      <c r="N82" s="36">
        <f t="shared" si="17"/>
        <v>0</v>
      </c>
      <c r="O82" s="36">
        <f t="shared" si="18"/>
        <v>4348000</v>
      </c>
      <c r="P82" s="12"/>
      <c r="R82" s="23"/>
    </row>
    <row r="83" spans="1:18" ht="71.25" customHeight="1" x14ac:dyDescent="0.25">
      <c r="A83" s="43">
        <v>16</v>
      </c>
      <c r="B83" s="44" t="s">
        <v>103</v>
      </c>
      <c r="C83" s="12" t="s">
        <v>32</v>
      </c>
      <c r="D83" s="12">
        <v>100</v>
      </c>
      <c r="E83" s="35">
        <v>21740</v>
      </c>
      <c r="F83" s="35">
        <f t="shared" si="10"/>
        <v>2174000</v>
      </c>
      <c r="G83" s="35">
        <f t="shared" si="11"/>
        <v>391320</v>
      </c>
      <c r="H83" s="36">
        <f t="shared" si="12"/>
        <v>2565320</v>
      </c>
      <c r="I83" s="12"/>
      <c r="J83" s="12">
        <f t="shared" si="13"/>
        <v>100</v>
      </c>
      <c r="K83" s="35">
        <f t="shared" si="14"/>
        <v>0</v>
      </c>
      <c r="L83" s="35">
        <f t="shared" si="15"/>
        <v>0</v>
      </c>
      <c r="M83" s="35">
        <f t="shared" si="16"/>
        <v>0</v>
      </c>
      <c r="N83" s="36">
        <f t="shared" si="17"/>
        <v>0</v>
      </c>
      <c r="O83" s="36">
        <f t="shared" si="18"/>
        <v>2174000</v>
      </c>
      <c r="P83" s="12"/>
      <c r="R83" s="23"/>
    </row>
    <row r="84" spans="1:18" ht="71.25" customHeight="1" x14ac:dyDescent="0.25">
      <c r="A84" s="43">
        <v>17</v>
      </c>
      <c r="B84" s="44" t="s">
        <v>104</v>
      </c>
      <c r="C84" s="12" t="s">
        <v>32</v>
      </c>
      <c r="D84" s="12">
        <v>100</v>
      </c>
      <c r="E84" s="35">
        <v>43480</v>
      </c>
      <c r="F84" s="35">
        <f t="shared" si="10"/>
        <v>4348000</v>
      </c>
      <c r="G84" s="35">
        <f t="shared" si="11"/>
        <v>782640</v>
      </c>
      <c r="H84" s="36">
        <f t="shared" si="12"/>
        <v>5130640</v>
      </c>
      <c r="I84" s="12"/>
      <c r="J84" s="12">
        <f t="shared" si="13"/>
        <v>100</v>
      </c>
      <c r="K84" s="35">
        <f t="shared" si="14"/>
        <v>0</v>
      </c>
      <c r="L84" s="35">
        <f t="shared" si="15"/>
        <v>0</v>
      </c>
      <c r="M84" s="35">
        <f t="shared" si="16"/>
        <v>0</v>
      </c>
      <c r="N84" s="36">
        <f t="shared" si="17"/>
        <v>0</v>
      </c>
      <c r="O84" s="36">
        <f t="shared" si="18"/>
        <v>4348000</v>
      </c>
      <c r="P84" s="12"/>
      <c r="R84" s="23"/>
    </row>
    <row r="85" spans="1:18" ht="71.25" customHeight="1" x14ac:dyDescent="0.25">
      <c r="A85" s="43">
        <v>18</v>
      </c>
      <c r="B85" s="44" t="s">
        <v>105</v>
      </c>
      <c r="C85" s="12" t="s">
        <v>32</v>
      </c>
      <c r="D85" s="12">
        <v>100</v>
      </c>
      <c r="E85" s="35">
        <v>21740</v>
      </c>
      <c r="F85" s="35">
        <f t="shared" si="10"/>
        <v>2174000</v>
      </c>
      <c r="G85" s="35">
        <f t="shared" si="11"/>
        <v>391320</v>
      </c>
      <c r="H85" s="36">
        <f t="shared" si="12"/>
        <v>2565320</v>
      </c>
      <c r="I85" s="12"/>
      <c r="J85" s="12">
        <f t="shared" si="13"/>
        <v>100</v>
      </c>
      <c r="K85" s="35">
        <f t="shared" si="14"/>
        <v>0</v>
      </c>
      <c r="L85" s="35">
        <f t="shared" si="15"/>
        <v>0</v>
      </c>
      <c r="M85" s="35">
        <f t="shared" si="16"/>
        <v>0</v>
      </c>
      <c r="N85" s="36">
        <f t="shared" si="17"/>
        <v>0</v>
      </c>
      <c r="O85" s="36">
        <f t="shared" si="18"/>
        <v>2174000</v>
      </c>
      <c r="P85" s="12"/>
      <c r="R85" s="23"/>
    </row>
    <row r="86" spans="1:18" ht="71.25" customHeight="1" x14ac:dyDescent="0.25">
      <c r="A86" s="43">
        <v>19</v>
      </c>
      <c r="B86" s="44" t="s">
        <v>106</v>
      </c>
      <c r="C86" s="12" t="s">
        <v>32</v>
      </c>
      <c r="D86" s="12">
        <v>100</v>
      </c>
      <c r="E86" s="35">
        <v>21740</v>
      </c>
      <c r="F86" s="35">
        <f t="shared" si="10"/>
        <v>2174000</v>
      </c>
      <c r="G86" s="35">
        <f t="shared" si="11"/>
        <v>391320</v>
      </c>
      <c r="H86" s="36">
        <f t="shared" si="12"/>
        <v>2565320</v>
      </c>
      <c r="I86" s="12"/>
      <c r="J86" s="12">
        <f t="shared" si="13"/>
        <v>100</v>
      </c>
      <c r="K86" s="35">
        <f t="shared" si="14"/>
        <v>0</v>
      </c>
      <c r="L86" s="35">
        <f t="shared" si="15"/>
        <v>0</v>
      </c>
      <c r="M86" s="35">
        <f t="shared" si="16"/>
        <v>0</v>
      </c>
      <c r="N86" s="36">
        <f t="shared" si="17"/>
        <v>0</v>
      </c>
      <c r="O86" s="36">
        <f t="shared" si="18"/>
        <v>2174000</v>
      </c>
      <c r="P86" s="12"/>
      <c r="R86" s="23"/>
    </row>
    <row r="87" spans="1:18" ht="71.25" customHeight="1" x14ac:dyDescent="0.25">
      <c r="A87" s="43">
        <v>20</v>
      </c>
      <c r="B87" s="44" t="s">
        <v>107</v>
      </c>
      <c r="C87" s="12" t="s">
        <v>32</v>
      </c>
      <c r="D87" s="12">
        <v>100</v>
      </c>
      <c r="E87" s="35">
        <v>21740</v>
      </c>
      <c r="F87" s="35">
        <f t="shared" si="10"/>
        <v>2174000</v>
      </c>
      <c r="G87" s="35">
        <f t="shared" si="11"/>
        <v>391320</v>
      </c>
      <c r="H87" s="36">
        <f t="shared" si="12"/>
        <v>2565320</v>
      </c>
      <c r="I87" s="12"/>
      <c r="J87" s="12">
        <f t="shared" si="13"/>
        <v>100</v>
      </c>
      <c r="K87" s="35">
        <f t="shared" si="14"/>
        <v>0</v>
      </c>
      <c r="L87" s="35">
        <f t="shared" si="15"/>
        <v>0</v>
      </c>
      <c r="M87" s="35">
        <f t="shared" si="16"/>
        <v>0</v>
      </c>
      <c r="N87" s="36">
        <f t="shared" si="17"/>
        <v>0</v>
      </c>
      <c r="O87" s="36">
        <f t="shared" si="18"/>
        <v>2174000</v>
      </c>
      <c r="P87" s="12"/>
      <c r="R87" s="23"/>
    </row>
    <row r="88" spans="1:18" ht="71.25" customHeight="1" x14ac:dyDescent="0.25">
      <c r="A88" s="43">
        <v>21</v>
      </c>
      <c r="B88" s="44" t="s">
        <v>108</v>
      </c>
      <c r="C88" s="12" t="s">
        <v>32</v>
      </c>
      <c r="D88" s="12">
        <v>100</v>
      </c>
      <c r="E88" s="35">
        <v>4350</v>
      </c>
      <c r="F88" s="35">
        <f t="shared" si="10"/>
        <v>435000</v>
      </c>
      <c r="G88" s="35">
        <f t="shared" si="11"/>
        <v>78300</v>
      </c>
      <c r="H88" s="36">
        <f t="shared" si="12"/>
        <v>513300</v>
      </c>
      <c r="I88" s="12"/>
      <c r="J88" s="12">
        <f t="shared" si="13"/>
        <v>100</v>
      </c>
      <c r="K88" s="35">
        <f t="shared" si="14"/>
        <v>0</v>
      </c>
      <c r="L88" s="35">
        <f t="shared" si="15"/>
        <v>0</v>
      </c>
      <c r="M88" s="35">
        <f t="shared" si="16"/>
        <v>0</v>
      </c>
      <c r="N88" s="36">
        <f t="shared" si="17"/>
        <v>0</v>
      </c>
      <c r="O88" s="36">
        <f t="shared" si="18"/>
        <v>435000</v>
      </c>
      <c r="P88" s="12"/>
      <c r="R88" s="23"/>
    </row>
    <row r="89" spans="1:18" ht="71.25" customHeight="1" x14ac:dyDescent="0.25">
      <c r="A89" s="43">
        <v>22</v>
      </c>
      <c r="B89" s="44" t="s">
        <v>109</v>
      </c>
      <c r="C89" s="12" t="s">
        <v>32</v>
      </c>
      <c r="D89" s="12">
        <v>100</v>
      </c>
      <c r="E89" s="35">
        <v>8690</v>
      </c>
      <c r="F89" s="35">
        <f t="shared" si="10"/>
        <v>869000</v>
      </c>
      <c r="G89" s="35">
        <f t="shared" si="11"/>
        <v>156420</v>
      </c>
      <c r="H89" s="36">
        <f t="shared" si="12"/>
        <v>1025420</v>
      </c>
      <c r="I89" s="12"/>
      <c r="J89" s="12">
        <f t="shared" si="13"/>
        <v>100</v>
      </c>
      <c r="K89" s="35">
        <f t="shared" si="14"/>
        <v>0</v>
      </c>
      <c r="L89" s="35">
        <f t="shared" si="15"/>
        <v>0</v>
      </c>
      <c r="M89" s="35">
        <f t="shared" si="16"/>
        <v>0</v>
      </c>
      <c r="N89" s="36">
        <f t="shared" si="17"/>
        <v>0</v>
      </c>
      <c r="O89" s="36">
        <f t="shared" si="18"/>
        <v>869000</v>
      </c>
      <c r="P89" s="12"/>
      <c r="R89" s="23"/>
    </row>
    <row r="90" spans="1:18" ht="71.25" customHeight="1" x14ac:dyDescent="0.25">
      <c r="A90" s="37" t="s">
        <v>110</v>
      </c>
      <c r="B90" s="38" t="s">
        <v>111</v>
      </c>
      <c r="C90" s="39"/>
      <c r="D90" s="40"/>
      <c r="E90" s="35"/>
      <c r="F90" s="35"/>
      <c r="G90" s="35"/>
      <c r="H90" s="36"/>
      <c r="I90" s="12"/>
      <c r="J90" s="12"/>
      <c r="K90" s="35"/>
      <c r="L90" s="35"/>
      <c r="M90" s="35"/>
      <c r="N90" s="36"/>
      <c r="O90" s="36"/>
      <c r="P90" s="12"/>
      <c r="R90" s="23"/>
    </row>
    <row r="91" spans="1:18" ht="71.25" customHeight="1" x14ac:dyDescent="0.25">
      <c r="A91" s="43">
        <v>1</v>
      </c>
      <c r="B91" s="44" t="s">
        <v>112</v>
      </c>
      <c r="C91" s="12" t="s">
        <v>32</v>
      </c>
      <c r="D91" s="12">
        <v>100</v>
      </c>
      <c r="E91" s="35">
        <v>217400</v>
      </c>
      <c r="F91" s="35">
        <f t="shared" si="10"/>
        <v>21740000</v>
      </c>
      <c r="G91" s="35">
        <f t="shared" si="11"/>
        <v>3913200</v>
      </c>
      <c r="H91" s="36">
        <f t="shared" si="12"/>
        <v>25653200</v>
      </c>
      <c r="I91" s="12"/>
      <c r="J91" s="12">
        <f t="shared" si="13"/>
        <v>100</v>
      </c>
      <c r="K91" s="35">
        <f t="shared" si="14"/>
        <v>0</v>
      </c>
      <c r="L91" s="35">
        <f t="shared" si="15"/>
        <v>0</v>
      </c>
      <c r="M91" s="35">
        <f t="shared" si="16"/>
        <v>0</v>
      </c>
      <c r="N91" s="36">
        <f t="shared" si="17"/>
        <v>0</v>
      </c>
      <c r="O91" s="36">
        <f t="shared" si="18"/>
        <v>21740000</v>
      </c>
      <c r="P91" s="12"/>
      <c r="R91" s="23"/>
    </row>
    <row r="92" spans="1:18" ht="71.25" customHeight="1" x14ac:dyDescent="0.25">
      <c r="A92" s="43">
        <v>2</v>
      </c>
      <c r="B92" s="44" t="s">
        <v>113</v>
      </c>
      <c r="C92" s="12" t="s">
        <v>32</v>
      </c>
      <c r="D92" s="12">
        <v>100</v>
      </c>
      <c r="E92" s="35">
        <v>173900</v>
      </c>
      <c r="F92" s="35">
        <f t="shared" si="10"/>
        <v>17390000</v>
      </c>
      <c r="G92" s="35">
        <f t="shared" si="11"/>
        <v>3130200</v>
      </c>
      <c r="H92" s="36">
        <f t="shared" si="12"/>
        <v>20520200</v>
      </c>
      <c r="I92" s="12"/>
      <c r="J92" s="12">
        <f t="shared" si="13"/>
        <v>100</v>
      </c>
      <c r="K92" s="35">
        <f t="shared" si="14"/>
        <v>0</v>
      </c>
      <c r="L92" s="35">
        <f t="shared" si="15"/>
        <v>0</v>
      </c>
      <c r="M92" s="35">
        <f t="shared" si="16"/>
        <v>0</v>
      </c>
      <c r="N92" s="36">
        <f t="shared" si="17"/>
        <v>0</v>
      </c>
      <c r="O92" s="36">
        <f t="shared" si="18"/>
        <v>17390000</v>
      </c>
      <c r="P92" s="12"/>
      <c r="R92" s="23"/>
    </row>
    <row r="93" spans="1:18" ht="71.25" customHeight="1" x14ac:dyDescent="0.25">
      <c r="A93" s="43">
        <v>3</v>
      </c>
      <c r="B93" s="44" t="s">
        <v>114</v>
      </c>
      <c r="C93" s="12" t="s">
        <v>32</v>
      </c>
      <c r="D93" s="12">
        <v>100</v>
      </c>
      <c r="E93" s="35">
        <v>8650</v>
      </c>
      <c r="F93" s="35">
        <f t="shared" si="10"/>
        <v>865000</v>
      </c>
      <c r="G93" s="35">
        <f t="shared" si="11"/>
        <v>155700</v>
      </c>
      <c r="H93" s="36">
        <f t="shared" si="12"/>
        <v>1020700</v>
      </c>
      <c r="I93" s="12"/>
      <c r="J93" s="12">
        <f t="shared" si="13"/>
        <v>100</v>
      </c>
      <c r="K93" s="35">
        <f t="shared" si="14"/>
        <v>0</v>
      </c>
      <c r="L93" s="35">
        <f t="shared" si="15"/>
        <v>0</v>
      </c>
      <c r="M93" s="35">
        <f t="shared" si="16"/>
        <v>0</v>
      </c>
      <c r="N93" s="36">
        <f t="shared" si="17"/>
        <v>0</v>
      </c>
      <c r="O93" s="36">
        <f t="shared" si="18"/>
        <v>865000</v>
      </c>
      <c r="P93" s="12"/>
      <c r="R93" s="23"/>
    </row>
    <row r="94" spans="1:18" ht="71.25" customHeight="1" x14ac:dyDescent="0.25">
      <c r="A94" s="43">
        <v>4</v>
      </c>
      <c r="B94" s="44" t="s">
        <v>115</v>
      </c>
      <c r="C94" s="12" t="s">
        <v>32</v>
      </c>
      <c r="D94" s="12">
        <v>100</v>
      </c>
      <c r="E94" s="35">
        <v>86960</v>
      </c>
      <c r="F94" s="35">
        <f t="shared" si="10"/>
        <v>8696000</v>
      </c>
      <c r="G94" s="35">
        <f t="shared" si="11"/>
        <v>1565280</v>
      </c>
      <c r="H94" s="36">
        <f t="shared" si="12"/>
        <v>10261280</v>
      </c>
      <c r="I94" s="12"/>
      <c r="J94" s="12">
        <f t="shared" si="13"/>
        <v>100</v>
      </c>
      <c r="K94" s="35">
        <f t="shared" si="14"/>
        <v>0</v>
      </c>
      <c r="L94" s="35">
        <f t="shared" si="15"/>
        <v>0</v>
      </c>
      <c r="M94" s="35">
        <f t="shared" si="16"/>
        <v>0</v>
      </c>
      <c r="N94" s="36">
        <f t="shared" si="17"/>
        <v>0</v>
      </c>
      <c r="O94" s="36">
        <f t="shared" si="18"/>
        <v>8696000</v>
      </c>
      <c r="P94" s="12"/>
      <c r="R94" s="23"/>
    </row>
    <row r="95" spans="1:18" ht="71.25" customHeight="1" x14ac:dyDescent="0.25">
      <c r="A95" s="43">
        <v>5</v>
      </c>
      <c r="B95" s="44" t="s">
        <v>116</v>
      </c>
      <c r="C95" s="12" t="s">
        <v>32</v>
      </c>
      <c r="D95" s="12">
        <v>100</v>
      </c>
      <c r="E95" s="35">
        <v>86960</v>
      </c>
      <c r="F95" s="35">
        <f t="shared" si="10"/>
        <v>8696000</v>
      </c>
      <c r="G95" s="35">
        <f t="shared" si="11"/>
        <v>1565280</v>
      </c>
      <c r="H95" s="36">
        <f t="shared" si="12"/>
        <v>10261280</v>
      </c>
      <c r="I95" s="12"/>
      <c r="J95" s="12">
        <f t="shared" si="13"/>
        <v>100</v>
      </c>
      <c r="K95" s="35">
        <f t="shared" si="14"/>
        <v>0</v>
      </c>
      <c r="L95" s="35">
        <f t="shared" si="15"/>
        <v>0</v>
      </c>
      <c r="M95" s="35">
        <f t="shared" si="16"/>
        <v>0</v>
      </c>
      <c r="N95" s="36">
        <f t="shared" si="17"/>
        <v>0</v>
      </c>
      <c r="O95" s="36">
        <f t="shared" si="18"/>
        <v>8696000</v>
      </c>
      <c r="P95" s="12"/>
      <c r="R95" s="23"/>
    </row>
    <row r="96" spans="1:18" ht="71.25" customHeight="1" x14ac:dyDescent="0.25">
      <c r="A96" s="43">
        <v>6</v>
      </c>
      <c r="B96" s="44" t="s">
        <v>117</v>
      </c>
      <c r="C96" s="12" t="s">
        <v>32</v>
      </c>
      <c r="D96" s="12">
        <v>100</v>
      </c>
      <c r="E96" s="35">
        <v>86960</v>
      </c>
      <c r="F96" s="35">
        <f t="shared" si="10"/>
        <v>8696000</v>
      </c>
      <c r="G96" s="35">
        <f t="shared" si="11"/>
        <v>1565280</v>
      </c>
      <c r="H96" s="36">
        <f t="shared" si="12"/>
        <v>10261280</v>
      </c>
      <c r="I96" s="12"/>
      <c r="J96" s="12">
        <f t="shared" si="13"/>
        <v>100</v>
      </c>
      <c r="K96" s="35">
        <f t="shared" si="14"/>
        <v>0</v>
      </c>
      <c r="L96" s="35">
        <f t="shared" si="15"/>
        <v>0</v>
      </c>
      <c r="M96" s="35">
        <f t="shared" si="16"/>
        <v>0</v>
      </c>
      <c r="N96" s="36">
        <f t="shared" si="17"/>
        <v>0</v>
      </c>
      <c r="O96" s="36">
        <f t="shared" si="18"/>
        <v>8696000</v>
      </c>
      <c r="P96" s="12"/>
      <c r="R96" s="23"/>
    </row>
    <row r="97" spans="1:18" ht="71.25" customHeight="1" x14ac:dyDescent="0.25">
      <c r="A97" s="43">
        <v>7</v>
      </c>
      <c r="B97" s="44" t="s">
        <v>118</v>
      </c>
      <c r="C97" s="12" t="s">
        <v>32</v>
      </c>
      <c r="D97" s="12">
        <v>100</v>
      </c>
      <c r="E97" s="35">
        <v>21740</v>
      </c>
      <c r="F97" s="35">
        <f t="shared" si="10"/>
        <v>2174000</v>
      </c>
      <c r="G97" s="35">
        <f t="shared" si="11"/>
        <v>391320</v>
      </c>
      <c r="H97" s="36">
        <f t="shared" si="12"/>
        <v>2565320</v>
      </c>
      <c r="I97" s="12"/>
      <c r="J97" s="12">
        <f t="shared" si="13"/>
        <v>100</v>
      </c>
      <c r="K97" s="35">
        <f t="shared" si="14"/>
        <v>0</v>
      </c>
      <c r="L97" s="35">
        <f t="shared" si="15"/>
        <v>0</v>
      </c>
      <c r="M97" s="35">
        <f t="shared" si="16"/>
        <v>0</v>
      </c>
      <c r="N97" s="36">
        <f t="shared" si="17"/>
        <v>0</v>
      </c>
      <c r="O97" s="36">
        <f t="shared" si="18"/>
        <v>2174000</v>
      </c>
      <c r="P97" s="12"/>
      <c r="R97" s="23"/>
    </row>
    <row r="98" spans="1:18" ht="71.25" customHeight="1" x14ac:dyDescent="0.25">
      <c r="A98" s="43">
        <v>8</v>
      </c>
      <c r="B98" s="44" t="s">
        <v>119</v>
      </c>
      <c r="C98" s="12" t="s">
        <v>32</v>
      </c>
      <c r="D98" s="12">
        <v>100</v>
      </c>
      <c r="E98" s="35">
        <v>21740</v>
      </c>
      <c r="F98" s="35">
        <f t="shared" si="10"/>
        <v>2174000</v>
      </c>
      <c r="G98" s="35">
        <f t="shared" si="11"/>
        <v>391320</v>
      </c>
      <c r="H98" s="36">
        <f t="shared" si="12"/>
        <v>2565320</v>
      </c>
      <c r="I98" s="12"/>
      <c r="J98" s="12">
        <f t="shared" si="13"/>
        <v>100</v>
      </c>
      <c r="K98" s="35">
        <f t="shared" si="14"/>
        <v>0</v>
      </c>
      <c r="L98" s="35">
        <f t="shared" si="15"/>
        <v>0</v>
      </c>
      <c r="M98" s="35">
        <f t="shared" si="16"/>
        <v>0</v>
      </c>
      <c r="N98" s="36">
        <f t="shared" si="17"/>
        <v>0</v>
      </c>
      <c r="O98" s="36">
        <f t="shared" si="18"/>
        <v>2174000</v>
      </c>
      <c r="P98" s="12"/>
      <c r="R98" s="23"/>
    </row>
    <row r="99" spans="1:18" ht="71.25" customHeight="1" x14ac:dyDescent="0.25">
      <c r="A99" s="43">
        <v>9</v>
      </c>
      <c r="B99" s="44" t="s">
        <v>120</v>
      </c>
      <c r="C99" s="12" t="s">
        <v>32</v>
      </c>
      <c r="D99" s="12">
        <v>100</v>
      </c>
      <c r="E99" s="35">
        <v>21740</v>
      </c>
      <c r="F99" s="35">
        <f t="shared" si="10"/>
        <v>2174000</v>
      </c>
      <c r="G99" s="35">
        <f t="shared" si="11"/>
        <v>391320</v>
      </c>
      <c r="H99" s="36">
        <f t="shared" si="12"/>
        <v>2565320</v>
      </c>
      <c r="I99" s="12"/>
      <c r="J99" s="12">
        <f t="shared" si="13"/>
        <v>100</v>
      </c>
      <c r="K99" s="35">
        <f t="shared" si="14"/>
        <v>0</v>
      </c>
      <c r="L99" s="35">
        <f t="shared" si="15"/>
        <v>0</v>
      </c>
      <c r="M99" s="35">
        <f t="shared" si="16"/>
        <v>0</v>
      </c>
      <c r="N99" s="36">
        <f t="shared" si="17"/>
        <v>0</v>
      </c>
      <c r="O99" s="36">
        <f t="shared" si="18"/>
        <v>2174000</v>
      </c>
      <c r="P99" s="12"/>
      <c r="R99" s="23"/>
    </row>
    <row r="100" spans="1:18" ht="71.25" customHeight="1" x14ac:dyDescent="0.25">
      <c r="A100" s="43">
        <v>10</v>
      </c>
      <c r="B100" s="44" t="s">
        <v>121</v>
      </c>
      <c r="C100" s="12" t="s">
        <v>32</v>
      </c>
      <c r="D100" s="12">
        <v>100</v>
      </c>
      <c r="E100" s="35">
        <v>43480</v>
      </c>
      <c r="F100" s="35">
        <f t="shared" si="10"/>
        <v>4348000</v>
      </c>
      <c r="G100" s="35">
        <f t="shared" si="11"/>
        <v>782640</v>
      </c>
      <c r="H100" s="36">
        <f t="shared" si="12"/>
        <v>5130640</v>
      </c>
      <c r="I100" s="12"/>
      <c r="J100" s="12">
        <f t="shared" si="13"/>
        <v>100</v>
      </c>
      <c r="K100" s="35">
        <f t="shared" si="14"/>
        <v>0</v>
      </c>
      <c r="L100" s="35">
        <f t="shared" si="15"/>
        <v>0</v>
      </c>
      <c r="M100" s="35">
        <f t="shared" si="16"/>
        <v>0</v>
      </c>
      <c r="N100" s="36">
        <f t="shared" si="17"/>
        <v>0</v>
      </c>
      <c r="O100" s="36">
        <f t="shared" si="18"/>
        <v>4348000</v>
      </c>
      <c r="P100" s="12"/>
      <c r="R100" s="23"/>
    </row>
    <row r="101" spans="1:18" ht="71.25" customHeight="1" x14ac:dyDescent="0.25">
      <c r="A101" s="43">
        <v>11</v>
      </c>
      <c r="B101" s="44" t="s">
        <v>122</v>
      </c>
      <c r="C101" s="12" t="s">
        <v>32</v>
      </c>
      <c r="D101" s="12">
        <v>100</v>
      </c>
      <c r="E101" s="35">
        <v>43480</v>
      </c>
      <c r="F101" s="35">
        <f t="shared" si="10"/>
        <v>4348000</v>
      </c>
      <c r="G101" s="35">
        <f t="shared" si="11"/>
        <v>782640</v>
      </c>
      <c r="H101" s="36">
        <f t="shared" si="12"/>
        <v>5130640</v>
      </c>
      <c r="I101" s="12"/>
      <c r="J101" s="12">
        <f t="shared" si="13"/>
        <v>100</v>
      </c>
      <c r="K101" s="35">
        <f t="shared" si="14"/>
        <v>0</v>
      </c>
      <c r="L101" s="35">
        <f t="shared" si="15"/>
        <v>0</v>
      </c>
      <c r="M101" s="35">
        <f t="shared" si="16"/>
        <v>0</v>
      </c>
      <c r="N101" s="36">
        <f t="shared" si="17"/>
        <v>0</v>
      </c>
      <c r="O101" s="36">
        <f t="shared" si="18"/>
        <v>4348000</v>
      </c>
      <c r="P101" s="12"/>
      <c r="R101" s="23"/>
    </row>
    <row r="102" spans="1:18" ht="71.25" customHeight="1" x14ac:dyDescent="0.25">
      <c r="A102" s="43">
        <v>12</v>
      </c>
      <c r="B102" s="44" t="s">
        <v>123</v>
      </c>
      <c r="C102" s="12" t="s">
        <v>32</v>
      </c>
      <c r="D102" s="12">
        <v>100</v>
      </c>
      <c r="E102" s="35">
        <v>43480</v>
      </c>
      <c r="F102" s="35">
        <f t="shared" si="10"/>
        <v>4348000</v>
      </c>
      <c r="G102" s="35">
        <f t="shared" si="11"/>
        <v>782640</v>
      </c>
      <c r="H102" s="36">
        <f t="shared" si="12"/>
        <v>5130640</v>
      </c>
      <c r="I102" s="12"/>
      <c r="J102" s="12">
        <f t="shared" si="13"/>
        <v>100</v>
      </c>
      <c r="K102" s="35">
        <f t="shared" si="14"/>
        <v>0</v>
      </c>
      <c r="L102" s="35">
        <f t="shared" si="15"/>
        <v>0</v>
      </c>
      <c r="M102" s="35">
        <f t="shared" si="16"/>
        <v>0</v>
      </c>
      <c r="N102" s="36">
        <f t="shared" si="17"/>
        <v>0</v>
      </c>
      <c r="O102" s="36">
        <f t="shared" si="18"/>
        <v>4348000</v>
      </c>
      <c r="P102" s="12"/>
      <c r="R102" s="23"/>
    </row>
    <row r="103" spans="1:18" ht="71.25" customHeight="1" x14ac:dyDescent="0.25">
      <c r="A103" s="43">
        <v>13</v>
      </c>
      <c r="B103" s="44" t="s">
        <v>124</v>
      </c>
      <c r="C103" s="12" t="s">
        <v>32</v>
      </c>
      <c r="D103" s="12">
        <v>100</v>
      </c>
      <c r="E103" s="35">
        <v>17400</v>
      </c>
      <c r="F103" s="35">
        <f t="shared" si="10"/>
        <v>1740000</v>
      </c>
      <c r="G103" s="35">
        <f t="shared" si="11"/>
        <v>313200</v>
      </c>
      <c r="H103" s="36">
        <f t="shared" si="12"/>
        <v>2053200</v>
      </c>
      <c r="I103" s="12"/>
      <c r="J103" s="12">
        <f t="shared" si="13"/>
        <v>100</v>
      </c>
      <c r="K103" s="35">
        <f t="shared" si="14"/>
        <v>0</v>
      </c>
      <c r="L103" s="35">
        <f t="shared" si="15"/>
        <v>0</v>
      </c>
      <c r="M103" s="35">
        <f t="shared" si="16"/>
        <v>0</v>
      </c>
      <c r="N103" s="36">
        <f t="shared" si="17"/>
        <v>0</v>
      </c>
      <c r="O103" s="36">
        <f t="shared" si="18"/>
        <v>1740000</v>
      </c>
      <c r="P103" s="12"/>
      <c r="R103" s="23"/>
    </row>
    <row r="104" spans="1:18" ht="71.25" customHeight="1" x14ac:dyDescent="0.25">
      <c r="A104" s="43">
        <v>14</v>
      </c>
      <c r="B104" s="44" t="s">
        <v>125</v>
      </c>
      <c r="C104" s="12" t="s">
        <v>32</v>
      </c>
      <c r="D104" s="12">
        <v>100</v>
      </c>
      <c r="E104" s="35">
        <v>26090</v>
      </c>
      <c r="F104" s="35">
        <f t="shared" si="10"/>
        <v>2609000</v>
      </c>
      <c r="G104" s="35">
        <f t="shared" si="11"/>
        <v>469620</v>
      </c>
      <c r="H104" s="36">
        <f t="shared" si="12"/>
        <v>3078620</v>
      </c>
      <c r="I104" s="12"/>
      <c r="J104" s="12">
        <f t="shared" si="13"/>
        <v>100</v>
      </c>
      <c r="K104" s="35">
        <f t="shared" si="14"/>
        <v>0</v>
      </c>
      <c r="L104" s="35">
        <f t="shared" si="15"/>
        <v>0</v>
      </c>
      <c r="M104" s="35">
        <f t="shared" si="16"/>
        <v>0</v>
      </c>
      <c r="N104" s="36">
        <f t="shared" si="17"/>
        <v>0</v>
      </c>
      <c r="O104" s="36">
        <f t="shared" si="18"/>
        <v>2609000</v>
      </c>
      <c r="P104" s="12"/>
      <c r="R104" s="23"/>
    </row>
    <row r="105" spans="1:18" ht="71.25" customHeight="1" x14ac:dyDescent="0.25">
      <c r="A105" s="37" t="s">
        <v>126</v>
      </c>
      <c r="B105" s="38" t="s">
        <v>127</v>
      </c>
      <c r="C105" s="39"/>
      <c r="D105" s="40"/>
      <c r="E105" s="35"/>
      <c r="F105" s="35"/>
      <c r="G105" s="35"/>
      <c r="H105" s="36"/>
      <c r="I105" s="12"/>
      <c r="J105" s="12"/>
      <c r="K105" s="35"/>
      <c r="L105" s="35"/>
      <c r="M105" s="35"/>
      <c r="N105" s="36"/>
      <c r="O105" s="36"/>
      <c r="P105" s="12"/>
      <c r="R105" s="23"/>
    </row>
    <row r="106" spans="1:18" ht="71.25" customHeight="1" x14ac:dyDescent="0.25">
      <c r="A106" s="43">
        <v>1</v>
      </c>
      <c r="B106" s="44" t="s">
        <v>128</v>
      </c>
      <c r="C106" s="12" t="s">
        <v>32</v>
      </c>
      <c r="D106" s="12">
        <v>100</v>
      </c>
      <c r="E106" s="35">
        <v>21740</v>
      </c>
      <c r="F106" s="35">
        <f t="shared" si="10"/>
        <v>2174000</v>
      </c>
      <c r="G106" s="35">
        <f t="shared" si="11"/>
        <v>391320</v>
      </c>
      <c r="H106" s="36">
        <f t="shared" si="12"/>
        <v>2565320</v>
      </c>
      <c r="I106" s="12"/>
      <c r="J106" s="12">
        <f t="shared" si="13"/>
        <v>100</v>
      </c>
      <c r="K106" s="35">
        <f t="shared" si="14"/>
        <v>0</v>
      </c>
      <c r="L106" s="35">
        <f t="shared" si="15"/>
        <v>0</v>
      </c>
      <c r="M106" s="35">
        <f t="shared" si="16"/>
        <v>0</v>
      </c>
      <c r="N106" s="36">
        <f t="shared" si="17"/>
        <v>0</v>
      </c>
      <c r="O106" s="36">
        <f t="shared" si="18"/>
        <v>2174000</v>
      </c>
      <c r="P106" s="12"/>
      <c r="R106" s="23"/>
    </row>
    <row r="107" spans="1:18" ht="71.25" customHeight="1" x14ac:dyDescent="0.25">
      <c r="A107" s="43">
        <v>2</v>
      </c>
      <c r="B107" s="44" t="s">
        <v>129</v>
      </c>
      <c r="C107" s="12" t="s">
        <v>32</v>
      </c>
      <c r="D107" s="12">
        <v>100</v>
      </c>
      <c r="E107" s="35">
        <v>86960</v>
      </c>
      <c r="F107" s="35">
        <f t="shared" si="10"/>
        <v>8696000</v>
      </c>
      <c r="G107" s="35">
        <f t="shared" si="11"/>
        <v>1565280</v>
      </c>
      <c r="H107" s="36">
        <f t="shared" si="12"/>
        <v>10261280</v>
      </c>
      <c r="I107" s="12"/>
      <c r="J107" s="12">
        <f t="shared" si="13"/>
        <v>100</v>
      </c>
      <c r="K107" s="35">
        <f t="shared" si="14"/>
        <v>0</v>
      </c>
      <c r="L107" s="35">
        <f t="shared" si="15"/>
        <v>0</v>
      </c>
      <c r="M107" s="35">
        <f t="shared" si="16"/>
        <v>0</v>
      </c>
      <c r="N107" s="36">
        <f t="shared" si="17"/>
        <v>0</v>
      </c>
      <c r="O107" s="36">
        <f t="shared" si="18"/>
        <v>8696000</v>
      </c>
      <c r="P107" s="12"/>
      <c r="R107" s="23"/>
    </row>
    <row r="108" spans="1:18" ht="71.25" customHeight="1" x14ac:dyDescent="0.25">
      <c r="A108" s="43">
        <v>3</v>
      </c>
      <c r="B108" s="44" t="s">
        <v>130</v>
      </c>
      <c r="C108" s="12" t="s">
        <v>32</v>
      </c>
      <c r="D108" s="12">
        <v>100</v>
      </c>
      <c r="E108" s="35">
        <v>21740</v>
      </c>
      <c r="F108" s="35">
        <f t="shared" si="10"/>
        <v>2174000</v>
      </c>
      <c r="G108" s="35">
        <f t="shared" si="11"/>
        <v>391320</v>
      </c>
      <c r="H108" s="36">
        <f t="shared" si="12"/>
        <v>2565320</v>
      </c>
      <c r="I108" s="12"/>
      <c r="J108" s="12">
        <f t="shared" si="13"/>
        <v>100</v>
      </c>
      <c r="K108" s="35">
        <f t="shared" si="14"/>
        <v>0</v>
      </c>
      <c r="L108" s="35">
        <f t="shared" si="15"/>
        <v>0</v>
      </c>
      <c r="M108" s="35">
        <f t="shared" si="16"/>
        <v>0</v>
      </c>
      <c r="N108" s="36">
        <f t="shared" si="17"/>
        <v>0</v>
      </c>
      <c r="O108" s="36">
        <f t="shared" si="18"/>
        <v>2174000</v>
      </c>
      <c r="P108" s="12"/>
      <c r="R108" s="23"/>
    </row>
    <row r="109" spans="1:18" ht="71.25" customHeight="1" x14ac:dyDescent="0.25">
      <c r="A109" s="43">
        <v>4</v>
      </c>
      <c r="B109" s="44" t="s">
        <v>131</v>
      </c>
      <c r="C109" s="12" t="s">
        <v>32</v>
      </c>
      <c r="D109" s="12">
        <v>100</v>
      </c>
      <c r="E109" s="35">
        <v>43480</v>
      </c>
      <c r="F109" s="35">
        <f t="shared" si="10"/>
        <v>4348000</v>
      </c>
      <c r="G109" s="35">
        <f t="shared" si="11"/>
        <v>782640</v>
      </c>
      <c r="H109" s="36">
        <f t="shared" si="12"/>
        <v>5130640</v>
      </c>
      <c r="I109" s="12"/>
      <c r="J109" s="12">
        <f t="shared" si="13"/>
        <v>100</v>
      </c>
      <c r="K109" s="35">
        <f t="shared" si="14"/>
        <v>0</v>
      </c>
      <c r="L109" s="35">
        <f t="shared" si="15"/>
        <v>0</v>
      </c>
      <c r="M109" s="35">
        <f t="shared" si="16"/>
        <v>0</v>
      </c>
      <c r="N109" s="36">
        <f t="shared" si="17"/>
        <v>0</v>
      </c>
      <c r="O109" s="36">
        <f t="shared" si="18"/>
        <v>4348000</v>
      </c>
      <c r="P109" s="12"/>
      <c r="R109" s="23"/>
    </row>
    <row r="110" spans="1:18" ht="71.25" customHeight="1" x14ac:dyDescent="0.25">
      <c r="A110" s="43">
        <v>5</v>
      </c>
      <c r="B110" s="44" t="s">
        <v>132</v>
      </c>
      <c r="C110" s="12" t="s">
        <v>32</v>
      </c>
      <c r="D110" s="12">
        <v>100</v>
      </c>
      <c r="E110" s="35">
        <v>21740</v>
      </c>
      <c r="F110" s="35">
        <f t="shared" si="10"/>
        <v>2174000</v>
      </c>
      <c r="G110" s="35">
        <f t="shared" si="11"/>
        <v>391320</v>
      </c>
      <c r="H110" s="36">
        <f t="shared" si="12"/>
        <v>2565320</v>
      </c>
      <c r="I110" s="12"/>
      <c r="J110" s="12">
        <f t="shared" si="13"/>
        <v>100</v>
      </c>
      <c r="K110" s="35">
        <f t="shared" si="14"/>
        <v>0</v>
      </c>
      <c r="L110" s="35">
        <f t="shared" si="15"/>
        <v>0</v>
      </c>
      <c r="M110" s="35">
        <f t="shared" si="16"/>
        <v>0</v>
      </c>
      <c r="N110" s="36">
        <f t="shared" si="17"/>
        <v>0</v>
      </c>
      <c r="O110" s="36">
        <f t="shared" si="18"/>
        <v>2174000</v>
      </c>
      <c r="P110" s="12"/>
      <c r="R110" s="23"/>
    </row>
    <row r="111" spans="1:18" ht="71.25" customHeight="1" x14ac:dyDescent="0.25">
      <c r="A111" s="43">
        <v>6</v>
      </c>
      <c r="B111" s="44" t="s">
        <v>133</v>
      </c>
      <c r="C111" s="12" t="s">
        <v>32</v>
      </c>
      <c r="D111" s="12">
        <v>100</v>
      </c>
      <c r="E111" s="35">
        <v>43480</v>
      </c>
      <c r="F111" s="35">
        <f t="shared" si="10"/>
        <v>4348000</v>
      </c>
      <c r="G111" s="35">
        <f t="shared" si="11"/>
        <v>782640</v>
      </c>
      <c r="H111" s="36">
        <f t="shared" si="12"/>
        <v>5130640</v>
      </c>
      <c r="I111" s="12"/>
      <c r="J111" s="12">
        <f t="shared" si="13"/>
        <v>100</v>
      </c>
      <c r="K111" s="35">
        <f t="shared" si="14"/>
        <v>0</v>
      </c>
      <c r="L111" s="35">
        <f t="shared" si="15"/>
        <v>0</v>
      </c>
      <c r="M111" s="35">
        <f t="shared" si="16"/>
        <v>0</v>
      </c>
      <c r="N111" s="36">
        <f t="shared" si="17"/>
        <v>0</v>
      </c>
      <c r="O111" s="36">
        <f t="shared" si="18"/>
        <v>4348000</v>
      </c>
      <c r="P111" s="12"/>
      <c r="R111" s="23"/>
    </row>
    <row r="112" spans="1:18" ht="71.25" customHeight="1" x14ac:dyDescent="0.25">
      <c r="A112" s="43">
        <v>7</v>
      </c>
      <c r="B112" s="44" t="s">
        <v>134</v>
      </c>
      <c r="C112" s="12" t="s">
        <v>32</v>
      </c>
      <c r="D112" s="12">
        <v>100</v>
      </c>
      <c r="E112" s="35">
        <v>21740</v>
      </c>
      <c r="F112" s="35">
        <f t="shared" si="10"/>
        <v>2174000</v>
      </c>
      <c r="G112" s="35">
        <f t="shared" si="11"/>
        <v>391320</v>
      </c>
      <c r="H112" s="36">
        <f t="shared" si="12"/>
        <v>2565320</v>
      </c>
      <c r="I112" s="12"/>
      <c r="J112" s="12">
        <f t="shared" si="13"/>
        <v>100</v>
      </c>
      <c r="K112" s="35">
        <f t="shared" si="14"/>
        <v>0</v>
      </c>
      <c r="L112" s="35">
        <f t="shared" si="15"/>
        <v>0</v>
      </c>
      <c r="M112" s="35">
        <f t="shared" si="16"/>
        <v>0</v>
      </c>
      <c r="N112" s="36">
        <f t="shared" si="17"/>
        <v>0</v>
      </c>
      <c r="O112" s="36">
        <f t="shared" si="18"/>
        <v>2174000</v>
      </c>
      <c r="P112" s="12"/>
      <c r="R112" s="23"/>
    </row>
    <row r="113" spans="1:18" ht="71.25" customHeight="1" x14ac:dyDescent="0.25">
      <c r="A113" s="43">
        <v>8</v>
      </c>
      <c r="B113" s="44" t="s">
        <v>135</v>
      </c>
      <c r="C113" s="12" t="s">
        <v>32</v>
      </c>
      <c r="D113" s="12">
        <v>100</v>
      </c>
      <c r="E113" s="35">
        <v>65220</v>
      </c>
      <c r="F113" s="35">
        <f t="shared" si="10"/>
        <v>6522000</v>
      </c>
      <c r="G113" s="35">
        <f t="shared" si="11"/>
        <v>1173960</v>
      </c>
      <c r="H113" s="36">
        <f t="shared" si="12"/>
        <v>7695960</v>
      </c>
      <c r="I113" s="12"/>
      <c r="J113" s="12">
        <f t="shared" si="13"/>
        <v>100</v>
      </c>
      <c r="K113" s="35">
        <f t="shared" si="14"/>
        <v>0</v>
      </c>
      <c r="L113" s="35">
        <f t="shared" si="15"/>
        <v>0</v>
      </c>
      <c r="M113" s="35">
        <f t="shared" si="16"/>
        <v>0</v>
      </c>
      <c r="N113" s="36">
        <f t="shared" si="17"/>
        <v>0</v>
      </c>
      <c r="O113" s="36">
        <f t="shared" si="18"/>
        <v>6522000</v>
      </c>
      <c r="P113" s="12"/>
      <c r="R113" s="23"/>
    </row>
    <row r="114" spans="1:18" ht="71.25" customHeight="1" x14ac:dyDescent="0.25">
      <c r="A114" s="43">
        <v>9</v>
      </c>
      <c r="B114" s="44" t="s">
        <v>136</v>
      </c>
      <c r="C114" s="12" t="s">
        <v>32</v>
      </c>
      <c r="D114" s="12">
        <v>100</v>
      </c>
      <c r="E114" s="35">
        <v>130440</v>
      </c>
      <c r="F114" s="35">
        <f t="shared" si="10"/>
        <v>13044000</v>
      </c>
      <c r="G114" s="35">
        <f t="shared" si="11"/>
        <v>2347920</v>
      </c>
      <c r="H114" s="36">
        <f t="shared" si="12"/>
        <v>15391920</v>
      </c>
      <c r="I114" s="12">
        <f>39.58</f>
        <v>39.58</v>
      </c>
      <c r="J114" s="12">
        <f t="shared" si="13"/>
        <v>60.42</v>
      </c>
      <c r="K114" s="35">
        <f t="shared" si="14"/>
        <v>5162815.2</v>
      </c>
      <c r="L114" s="35">
        <f t="shared" si="15"/>
        <v>712468.49760000012</v>
      </c>
      <c r="M114" s="35">
        <f t="shared" si="16"/>
        <v>516281.52</v>
      </c>
      <c r="N114" s="36">
        <f t="shared" si="17"/>
        <v>5359002.1776000001</v>
      </c>
      <c r="O114" s="36">
        <f t="shared" si="18"/>
        <v>7881184.7999999998</v>
      </c>
      <c r="P114" s="12"/>
      <c r="R114" s="23"/>
    </row>
    <row r="115" spans="1:18" ht="71.25" customHeight="1" x14ac:dyDescent="0.25">
      <c r="A115" s="43">
        <v>10</v>
      </c>
      <c r="B115" s="44" t="s">
        <v>137</v>
      </c>
      <c r="C115" s="12" t="s">
        <v>32</v>
      </c>
      <c r="D115" s="12">
        <v>100</v>
      </c>
      <c r="E115" s="35">
        <v>21700</v>
      </c>
      <c r="F115" s="35">
        <f t="shared" si="10"/>
        <v>2170000</v>
      </c>
      <c r="G115" s="35">
        <f t="shared" si="11"/>
        <v>390600</v>
      </c>
      <c r="H115" s="36">
        <f t="shared" si="12"/>
        <v>2560600</v>
      </c>
      <c r="I115" s="12"/>
      <c r="J115" s="12">
        <f t="shared" si="13"/>
        <v>100</v>
      </c>
      <c r="K115" s="35">
        <f t="shared" si="14"/>
        <v>0</v>
      </c>
      <c r="L115" s="35">
        <f t="shared" si="15"/>
        <v>0</v>
      </c>
      <c r="M115" s="35">
        <f t="shared" si="16"/>
        <v>0</v>
      </c>
      <c r="N115" s="36">
        <f t="shared" si="17"/>
        <v>0</v>
      </c>
      <c r="O115" s="36">
        <f t="shared" si="18"/>
        <v>2170000</v>
      </c>
      <c r="P115" s="12"/>
      <c r="R115" s="23"/>
    </row>
    <row r="116" spans="1:18" ht="71.25" customHeight="1" x14ac:dyDescent="0.25">
      <c r="A116" s="43">
        <v>11</v>
      </c>
      <c r="B116" s="44" t="s">
        <v>138</v>
      </c>
      <c r="C116" s="12" t="s">
        <v>32</v>
      </c>
      <c r="D116" s="12">
        <v>100</v>
      </c>
      <c r="E116" s="35">
        <v>43440</v>
      </c>
      <c r="F116" s="35">
        <f t="shared" si="10"/>
        <v>4344000</v>
      </c>
      <c r="G116" s="35">
        <f t="shared" si="11"/>
        <v>781920</v>
      </c>
      <c r="H116" s="36">
        <f t="shared" si="12"/>
        <v>5125920</v>
      </c>
      <c r="I116" s="12"/>
      <c r="J116" s="12">
        <f t="shared" si="13"/>
        <v>100</v>
      </c>
      <c r="K116" s="35">
        <f t="shared" si="14"/>
        <v>0</v>
      </c>
      <c r="L116" s="35">
        <f t="shared" si="15"/>
        <v>0</v>
      </c>
      <c r="M116" s="35">
        <f t="shared" si="16"/>
        <v>0</v>
      </c>
      <c r="N116" s="36">
        <f t="shared" si="17"/>
        <v>0</v>
      </c>
      <c r="O116" s="36">
        <f t="shared" si="18"/>
        <v>4344000</v>
      </c>
      <c r="P116" s="12"/>
      <c r="R116" s="23"/>
    </row>
    <row r="117" spans="1:18" ht="71.25" customHeight="1" x14ac:dyDescent="0.25">
      <c r="A117" s="37" t="s">
        <v>139</v>
      </c>
      <c r="B117" s="38" t="s">
        <v>140</v>
      </c>
      <c r="C117" s="39"/>
      <c r="D117" s="40"/>
      <c r="E117" s="35"/>
      <c r="F117" s="35"/>
      <c r="G117" s="35"/>
      <c r="H117" s="36"/>
      <c r="I117" s="12"/>
      <c r="J117" s="12"/>
      <c r="K117" s="35"/>
      <c r="L117" s="35"/>
      <c r="M117" s="35"/>
      <c r="N117" s="36"/>
      <c r="O117" s="36"/>
      <c r="P117" s="12"/>
      <c r="R117" s="23"/>
    </row>
    <row r="118" spans="1:18" ht="71.25" customHeight="1" x14ac:dyDescent="0.25">
      <c r="A118" s="43">
        <v>1</v>
      </c>
      <c r="B118" s="44" t="s">
        <v>141</v>
      </c>
      <c r="C118" s="12" t="s">
        <v>32</v>
      </c>
      <c r="D118" s="12">
        <v>100</v>
      </c>
      <c r="E118" s="35">
        <v>65210</v>
      </c>
      <c r="F118" s="35">
        <f t="shared" si="10"/>
        <v>6521000</v>
      </c>
      <c r="G118" s="35">
        <f t="shared" si="11"/>
        <v>1173780</v>
      </c>
      <c r="H118" s="36">
        <f t="shared" si="12"/>
        <v>7694780</v>
      </c>
      <c r="I118" s="12"/>
      <c r="J118" s="12">
        <f t="shared" si="13"/>
        <v>100</v>
      </c>
      <c r="K118" s="35">
        <f t="shared" si="14"/>
        <v>0</v>
      </c>
      <c r="L118" s="35">
        <f t="shared" si="15"/>
        <v>0</v>
      </c>
      <c r="M118" s="35">
        <f t="shared" si="16"/>
        <v>0</v>
      </c>
      <c r="N118" s="36">
        <f t="shared" si="17"/>
        <v>0</v>
      </c>
      <c r="O118" s="36">
        <f t="shared" si="18"/>
        <v>6521000</v>
      </c>
      <c r="P118" s="12"/>
      <c r="R118" s="23"/>
    </row>
    <row r="119" spans="1:18" ht="71.25" customHeight="1" x14ac:dyDescent="0.25">
      <c r="A119" s="43">
        <v>2</v>
      </c>
      <c r="B119" s="44" t="s">
        <v>142</v>
      </c>
      <c r="C119" s="12" t="s">
        <v>32</v>
      </c>
      <c r="D119" s="12">
        <v>100</v>
      </c>
      <c r="E119" s="35">
        <v>43470</v>
      </c>
      <c r="F119" s="35">
        <f t="shared" si="10"/>
        <v>4347000</v>
      </c>
      <c r="G119" s="35">
        <f t="shared" si="11"/>
        <v>782460</v>
      </c>
      <c r="H119" s="36">
        <f t="shared" si="12"/>
        <v>5129460</v>
      </c>
      <c r="I119" s="12"/>
      <c r="J119" s="12">
        <f t="shared" si="13"/>
        <v>100</v>
      </c>
      <c r="K119" s="35">
        <f t="shared" si="14"/>
        <v>0</v>
      </c>
      <c r="L119" s="35">
        <f t="shared" si="15"/>
        <v>0</v>
      </c>
      <c r="M119" s="35">
        <f t="shared" si="16"/>
        <v>0</v>
      </c>
      <c r="N119" s="36">
        <f t="shared" si="17"/>
        <v>0</v>
      </c>
      <c r="O119" s="36">
        <f t="shared" si="18"/>
        <v>4347000</v>
      </c>
      <c r="P119" s="12"/>
      <c r="R119" s="23">
        <f>2.58*4000</f>
        <v>10320</v>
      </c>
    </row>
    <row r="120" spans="1:18" ht="71.25" customHeight="1" x14ac:dyDescent="0.25">
      <c r="A120" s="43">
        <v>3</v>
      </c>
      <c r="B120" s="44" t="s">
        <v>143</v>
      </c>
      <c r="C120" s="12" t="s">
        <v>32</v>
      </c>
      <c r="D120" s="12">
        <v>100</v>
      </c>
      <c r="E120" s="35">
        <v>21740</v>
      </c>
      <c r="F120" s="35">
        <f t="shared" si="10"/>
        <v>2174000</v>
      </c>
      <c r="G120" s="35">
        <f t="shared" si="11"/>
        <v>391320</v>
      </c>
      <c r="H120" s="36">
        <f t="shared" si="12"/>
        <v>2565320</v>
      </c>
      <c r="I120" s="12"/>
      <c r="J120" s="12">
        <f t="shared" si="13"/>
        <v>100</v>
      </c>
      <c r="K120" s="35">
        <f t="shared" si="14"/>
        <v>0</v>
      </c>
      <c r="L120" s="35">
        <f t="shared" si="15"/>
        <v>0</v>
      </c>
      <c r="M120" s="35">
        <f t="shared" si="16"/>
        <v>0</v>
      </c>
      <c r="N120" s="36">
        <f t="shared" si="17"/>
        <v>0</v>
      </c>
      <c r="O120" s="36">
        <f t="shared" si="18"/>
        <v>2174000</v>
      </c>
      <c r="P120" s="12"/>
      <c r="R120" s="23"/>
    </row>
    <row r="121" spans="1:18" ht="71.25" customHeight="1" x14ac:dyDescent="0.25">
      <c r="A121" s="43">
        <v>4</v>
      </c>
      <c r="B121" s="44" t="s">
        <v>144</v>
      </c>
      <c r="C121" s="12" t="s">
        <v>32</v>
      </c>
      <c r="D121" s="12">
        <v>100</v>
      </c>
      <c r="E121" s="35">
        <v>21470</v>
      </c>
      <c r="F121" s="35">
        <f t="shared" si="10"/>
        <v>2147000</v>
      </c>
      <c r="G121" s="35">
        <f t="shared" si="11"/>
        <v>386460</v>
      </c>
      <c r="H121" s="36">
        <f t="shared" si="12"/>
        <v>2533460</v>
      </c>
      <c r="I121" s="12"/>
      <c r="J121" s="12">
        <f t="shared" si="13"/>
        <v>100</v>
      </c>
      <c r="K121" s="35">
        <f t="shared" si="14"/>
        <v>0</v>
      </c>
      <c r="L121" s="35">
        <f t="shared" si="15"/>
        <v>0</v>
      </c>
      <c r="M121" s="35">
        <f t="shared" si="16"/>
        <v>0</v>
      </c>
      <c r="N121" s="36">
        <f t="shared" si="17"/>
        <v>0</v>
      </c>
      <c r="O121" s="36">
        <f t="shared" si="18"/>
        <v>2147000</v>
      </c>
      <c r="P121" s="12"/>
      <c r="R121" s="23"/>
    </row>
    <row r="122" spans="1:18" ht="71.25" customHeight="1" x14ac:dyDescent="0.25">
      <c r="A122" s="37" t="s">
        <v>145</v>
      </c>
      <c r="B122" s="38" t="s">
        <v>146</v>
      </c>
      <c r="C122" s="39"/>
      <c r="D122" s="40"/>
      <c r="E122" s="35"/>
      <c r="F122" s="35"/>
      <c r="G122" s="35"/>
      <c r="H122" s="36"/>
      <c r="I122" s="12"/>
      <c r="J122" s="12"/>
      <c r="K122" s="35"/>
      <c r="L122" s="35"/>
      <c r="M122" s="35"/>
      <c r="N122" s="36"/>
      <c r="O122" s="36"/>
      <c r="P122" s="12"/>
      <c r="R122" s="23"/>
    </row>
    <row r="123" spans="1:18" ht="71.25" customHeight="1" x14ac:dyDescent="0.25">
      <c r="A123" s="43">
        <v>1</v>
      </c>
      <c r="B123" s="44" t="s">
        <v>147</v>
      </c>
      <c r="C123" s="12" t="s">
        <v>32</v>
      </c>
      <c r="D123" s="12">
        <v>100</v>
      </c>
      <c r="E123" s="35">
        <v>21740</v>
      </c>
      <c r="F123" s="35">
        <f t="shared" si="10"/>
        <v>2174000</v>
      </c>
      <c r="G123" s="35">
        <f t="shared" si="11"/>
        <v>391320</v>
      </c>
      <c r="H123" s="36">
        <f t="shared" si="12"/>
        <v>2565320</v>
      </c>
      <c r="I123" s="12"/>
      <c r="J123" s="12">
        <f t="shared" si="13"/>
        <v>100</v>
      </c>
      <c r="K123" s="35">
        <f t="shared" si="14"/>
        <v>0</v>
      </c>
      <c r="L123" s="35">
        <f t="shared" si="15"/>
        <v>0</v>
      </c>
      <c r="M123" s="35">
        <f t="shared" si="16"/>
        <v>0</v>
      </c>
      <c r="N123" s="36">
        <f t="shared" si="17"/>
        <v>0</v>
      </c>
      <c r="O123" s="36">
        <f t="shared" si="18"/>
        <v>2174000</v>
      </c>
      <c r="P123" s="12"/>
      <c r="R123" s="23"/>
    </row>
    <row r="124" spans="1:18" ht="71.25" customHeight="1" x14ac:dyDescent="0.25">
      <c r="A124" s="43">
        <v>2</v>
      </c>
      <c r="B124" s="44" t="s">
        <v>148</v>
      </c>
      <c r="C124" s="12" t="s">
        <v>32</v>
      </c>
      <c r="D124" s="12">
        <v>100</v>
      </c>
      <c r="E124" s="35">
        <v>21740</v>
      </c>
      <c r="F124" s="35">
        <f t="shared" si="10"/>
        <v>2174000</v>
      </c>
      <c r="G124" s="35">
        <f t="shared" si="11"/>
        <v>391320</v>
      </c>
      <c r="H124" s="36">
        <f t="shared" si="12"/>
        <v>2565320</v>
      </c>
      <c r="I124" s="12"/>
      <c r="J124" s="12">
        <f t="shared" si="13"/>
        <v>100</v>
      </c>
      <c r="K124" s="35">
        <f t="shared" si="14"/>
        <v>0</v>
      </c>
      <c r="L124" s="35">
        <f t="shared" si="15"/>
        <v>0</v>
      </c>
      <c r="M124" s="35">
        <f t="shared" si="16"/>
        <v>0</v>
      </c>
      <c r="N124" s="36">
        <f t="shared" si="17"/>
        <v>0</v>
      </c>
      <c r="O124" s="36">
        <f t="shared" si="18"/>
        <v>2174000</v>
      </c>
      <c r="P124" s="12"/>
      <c r="R124" s="23"/>
    </row>
    <row r="125" spans="1:18" ht="71.25" customHeight="1" x14ac:dyDescent="0.25">
      <c r="A125" s="43" t="s">
        <v>149</v>
      </c>
      <c r="B125" s="44" t="s">
        <v>150</v>
      </c>
      <c r="C125" s="12" t="s">
        <v>32</v>
      </c>
      <c r="D125" s="12">
        <v>100</v>
      </c>
      <c r="E125" s="35">
        <v>217820</v>
      </c>
      <c r="F125" s="35">
        <f t="shared" si="10"/>
        <v>21782000</v>
      </c>
      <c r="G125" s="35">
        <f t="shared" si="11"/>
        <v>3920760</v>
      </c>
      <c r="H125" s="36">
        <f t="shared" si="12"/>
        <v>25702760</v>
      </c>
      <c r="I125" s="12"/>
      <c r="J125" s="12">
        <f t="shared" si="13"/>
        <v>100</v>
      </c>
      <c r="K125" s="35">
        <f t="shared" si="14"/>
        <v>0</v>
      </c>
      <c r="L125" s="35">
        <f t="shared" si="15"/>
        <v>0</v>
      </c>
      <c r="M125" s="35">
        <f t="shared" si="16"/>
        <v>0</v>
      </c>
      <c r="N125" s="36">
        <f t="shared" si="17"/>
        <v>0</v>
      </c>
      <c r="O125" s="36">
        <f t="shared" si="18"/>
        <v>21782000</v>
      </c>
      <c r="P125" s="12"/>
      <c r="R125" s="23"/>
    </row>
    <row r="126" spans="1:18" ht="71.25" customHeight="1" x14ac:dyDescent="0.25">
      <c r="A126" s="37" t="s">
        <v>151</v>
      </c>
      <c r="B126" s="38" t="s">
        <v>152</v>
      </c>
      <c r="C126" s="39"/>
      <c r="D126" s="40"/>
      <c r="E126" s="35"/>
      <c r="F126" s="35"/>
      <c r="G126" s="35"/>
      <c r="H126" s="36"/>
      <c r="I126" s="12"/>
      <c r="J126" s="12"/>
      <c r="K126" s="35"/>
      <c r="L126" s="35"/>
      <c r="M126" s="35"/>
      <c r="N126" s="36"/>
      <c r="O126" s="36"/>
      <c r="P126" s="12"/>
      <c r="R126" s="23"/>
    </row>
    <row r="127" spans="1:18" ht="71.25" customHeight="1" x14ac:dyDescent="0.25">
      <c r="A127" s="43">
        <v>1</v>
      </c>
      <c r="B127" s="44" t="s">
        <v>153</v>
      </c>
      <c r="C127" s="12" t="s">
        <v>32</v>
      </c>
      <c r="D127" s="12">
        <v>100</v>
      </c>
      <c r="E127" s="35">
        <v>13040</v>
      </c>
      <c r="F127" s="35">
        <f t="shared" si="10"/>
        <v>1304000</v>
      </c>
      <c r="G127" s="35">
        <f t="shared" si="11"/>
        <v>234720</v>
      </c>
      <c r="H127" s="36">
        <f t="shared" si="12"/>
        <v>1538720</v>
      </c>
      <c r="I127" s="12"/>
      <c r="J127" s="12">
        <f t="shared" si="13"/>
        <v>100</v>
      </c>
      <c r="K127" s="35">
        <f t="shared" si="14"/>
        <v>0</v>
      </c>
      <c r="L127" s="35">
        <f t="shared" si="15"/>
        <v>0</v>
      </c>
      <c r="M127" s="35">
        <f t="shared" si="16"/>
        <v>0</v>
      </c>
      <c r="N127" s="36">
        <f t="shared" si="17"/>
        <v>0</v>
      </c>
      <c r="O127" s="36">
        <f t="shared" si="18"/>
        <v>1304000</v>
      </c>
      <c r="P127" s="12"/>
      <c r="R127" s="23"/>
    </row>
    <row r="128" spans="1:18" ht="71.25" customHeight="1" x14ac:dyDescent="0.25">
      <c r="A128" s="43">
        <v>2</v>
      </c>
      <c r="B128" s="44" t="s">
        <v>154</v>
      </c>
      <c r="C128" s="12" t="s">
        <v>32</v>
      </c>
      <c r="D128" s="12">
        <v>100</v>
      </c>
      <c r="E128" s="35">
        <v>13040</v>
      </c>
      <c r="F128" s="35">
        <f t="shared" si="10"/>
        <v>1304000</v>
      </c>
      <c r="G128" s="35">
        <f t="shared" si="11"/>
        <v>234720</v>
      </c>
      <c r="H128" s="36">
        <f t="shared" si="12"/>
        <v>1538720</v>
      </c>
      <c r="I128" s="12"/>
      <c r="J128" s="12">
        <f t="shared" si="13"/>
        <v>100</v>
      </c>
      <c r="K128" s="35">
        <f t="shared" si="14"/>
        <v>0</v>
      </c>
      <c r="L128" s="35">
        <f t="shared" si="15"/>
        <v>0</v>
      </c>
      <c r="M128" s="35">
        <f t="shared" si="16"/>
        <v>0</v>
      </c>
      <c r="N128" s="36">
        <f t="shared" si="17"/>
        <v>0</v>
      </c>
      <c r="O128" s="36">
        <f t="shared" si="18"/>
        <v>1304000</v>
      </c>
      <c r="P128" s="12"/>
      <c r="R128" s="23"/>
    </row>
    <row r="129" spans="1:18" ht="71.25" customHeight="1" x14ac:dyDescent="0.25">
      <c r="A129" s="43">
        <v>3</v>
      </c>
      <c r="B129" s="44" t="s">
        <v>155</v>
      </c>
      <c r="C129" s="12" t="s">
        <v>32</v>
      </c>
      <c r="D129" s="12">
        <v>100</v>
      </c>
      <c r="E129" s="35">
        <v>13040</v>
      </c>
      <c r="F129" s="35">
        <f t="shared" si="10"/>
        <v>1304000</v>
      </c>
      <c r="G129" s="35">
        <f t="shared" si="11"/>
        <v>234720</v>
      </c>
      <c r="H129" s="36">
        <f t="shared" si="12"/>
        <v>1538720</v>
      </c>
      <c r="I129" s="12"/>
      <c r="J129" s="12">
        <f t="shared" si="13"/>
        <v>100</v>
      </c>
      <c r="K129" s="35">
        <f t="shared" si="14"/>
        <v>0</v>
      </c>
      <c r="L129" s="35">
        <f t="shared" si="15"/>
        <v>0</v>
      </c>
      <c r="M129" s="35">
        <f t="shared" si="16"/>
        <v>0</v>
      </c>
      <c r="N129" s="36">
        <f t="shared" si="17"/>
        <v>0</v>
      </c>
      <c r="O129" s="36">
        <f t="shared" si="18"/>
        <v>1304000</v>
      </c>
      <c r="P129" s="12"/>
      <c r="R129" s="23"/>
    </row>
    <row r="130" spans="1:18" ht="71.25" customHeight="1" x14ac:dyDescent="0.25">
      <c r="A130" s="43">
        <v>4</v>
      </c>
      <c r="B130" s="44" t="s">
        <v>156</v>
      </c>
      <c r="C130" s="12" t="s">
        <v>32</v>
      </c>
      <c r="D130" s="12">
        <v>100</v>
      </c>
      <c r="E130" s="35">
        <v>21720</v>
      </c>
      <c r="F130" s="35">
        <f t="shared" si="10"/>
        <v>2172000</v>
      </c>
      <c r="G130" s="35">
        <f t="shared" si="11"/>
        <v>390960</v>
      </c>
      <c r="H130" s="36">
        <f t="shared" si="12"/>
        <v>2562960</v>
      </c>
      <c r="I130" s="12"/>
      <c r="J130" s="12">
        <f t="shared" si="13"/>
        <v>100</v>
      </c>
      <c r="K130" s="35">
        <f t="shared" si="14"/>
        <v>0</v>
      </c>
      <c r="L130" s="35">
        <f t="shared" si="15"/>
        <v>0</v>
      </c>
      <c r="M130" s="35">
        <f t="shared" si="16"/>
        <v>0</v>
      </c>
      <c r="N130" s="36">
        <f t="shared" si="17"/>
        <v>0</v>
      </c>
      <c r="O130" s="36">
        <f t="shared" si="18"/>
        <v>2172000</v>
      </c>
      <c r="P130" s="12"/>
      <c r="R130" s="23"/>
    </row>
    <row r="131" spans="1:18" ht="61.5" customHeight="1" x14ac:dyDescent="0.25">
      <c r="A131" s="12">
        <v>5</v>
      </c>
      <c r="B131" s="46" t="s">
        <v>157</v>
      </c>
      <c r="C131" s="12"/>
      <c r="D131" s="12"/>
      <c r="E131" s="35"/>
      <c r="F131" s="47"/>
      <c r="G131" s="35"/>
      <c r="H131" s="36"/>
      <c r="I131" s="12"/>
      <c r="J131" s="12"/>
      <c r="K131" s="35"/>
      <c r="L131" s="35"/>
      <c r="M131" s="35"/>
      <c r="N131" s="36"/>
      <c r="O131" s="36"/>
      <c r="P131" s="12"/>
    </row>
    <row r="132" spans="1:18" ht="61.5" customHeight="1" x14ac:dyDescent="0.25">
      <c r="A132" s="12" t="s">
        <v>158</v>
      </c>
      <c r="B132" s="46" t="s">
        <v>159</v>
      </c>
      <c r="C132" s="12" t="s">
        <v>26</v>
      </c>
      <c r="D132" s="12">
        <v>1</v>
      </c>
      <c r="E132" s="35">
        <v>40000000</v>
      </c>
      <c r="F132" s="35">
        <f>D132*E132</f>
        <v>40000000</v>
      </c>
      <c r="G132" s="35">
        <f t="shared" si="11"/>
        <v>7200000</v>
      </c>
      <c r="H132" s="36">
        <f t="shared" si="12"/>
        <v>47200000</v>
      </c>
      <c r="I132" s="12"/>
      <c r="J132" s="12">
        <f t="shared" si="13"/>
        <v>1</v>
      </c>
      <c r="K132" s="35">
        <f t="shared" si="14"/>
        <v>0</v>
      </c>
      <c r="L132" s="35">
        <f t="shared" si="15"/>
        <v>0</v>
      </c>
      <c r="M132" s="35">
        <f t="shared" si="16"/>
        <v>0</v>
      </c>
      <c r="N132" s="36">
        <f t="shared" si="17"/>
        <v>0</v>
      </c>
      <c r="O132" s="36">
        <f t="shared" si="18"/>
        <v>40000000</v>
      </c>
      <c r="P132" s="12"/>
    </row>
    <row r="133" spans="1:18" ht="37.5" customHeight="1" x14ac:dyDescent="0.25">
      <c r="A133" s="12">
        <v>6</v>
      </c>
      <c r="B133" s="44" t="s">
        <v>160</v>
      </c>
      <c r="C133" s="12" t="s">
        <v>26</v>
      </c>
      <c r="D133" s="12">
        <v>1</v>
      </c>
      <c r="E133" s="35">
        <v>300000</v>
      </c>
      <c r="F133" s="35">
        <f>D133*E133</f>
        <v>300000</v>
      </c>
      <c r="G133" s="35">
        <f t="shared" si="11"/>
        <v>54000</v>
      </c>
      <c r="H133" s="36">
        <f t="shared" si="12"/>
        <v>354000</v>
      </c>
      <c r="I133" s="12"/>
      <c r="J133" s="12">
        <f t="shared" si="13"/>
        <v>1</v>
      </c>
      <c r="K133" s="35">
        <f t="shared" si="14"/>
        <v>0</v>
      </c>
      <c r="L133" s="35">
        <f t="shared" si="15"/>
        <v>0</v>
      </c>
      <c r="M133" s="35">
        <f t="shared" si="16"/>
        <v>0</v>
      </c>
      <c r="N133" s="36">
        <f t="shared" si="17"/>
        <v>0</v>
      </c>
      <c r="O133" s="36">
        <f t="shared" si="18"/>
        <v>300000</v>
      </c>
      <c r="P133" s="12"/>
    </row>
    <row r="134" spans="1:18" ht="37.5" customHeight="1" x14ac:dyDescent="0.25">
      <c r="A134" s="12">
        <v>7</v>
      </c>
      <c r="B134" s="44" t="s">
        <v>161</v>
      </c>
      <c r="C134" s="12" t="s">
        <v>26</v>
      </c>
      <c r="D134" s="12">
        <v>1</v>
      </c>
      <c r="E134" s="35">
        <v>2500000</v>
      </c>
      <c r="F134" s="35">
        <f>D134*E134</f>
        <v>2500000</v>
      </c>
      <c r="G134" s="35">
        <f t="shared" si="11"/>
        <v>450000</v>
      </c>
      <c r="H134" s="36">
        <f t="shared" si="12"/>
        <v>2950000</v>
      </c>
      <c r="I134" s="12"/>
      <c r="J134" s="12">
        <f t="shared" si="13"/>
        <v>1</v>
      </c>
      <c r="K134" s="35">
        <f t="shared" si="14"/>
        <v>0</v>
      </c>
      <c r="L134" s="35">
        <f t="shared" si="15"/>
        <v>0</v>
      </c>
      <c r="M134" s="35">
        <f t="shared" si="16"/>
        <v>0</v>
      </c>
      <c r="N134" s="36">
        <f t="shared" si="17"/>
        <v>0</v>
      </c>
      <c r="O134" s="36">
        <f t="shared" si="18"/>
        <v>2500000</v>
      </c>
      <c r="P134" s="12"/>
    </row>
  </sheetData>
  <mergeCells count="28">
    <mergeCell ref="B67:D67"/>
    <mergeCell ref="B90:D90"/>
    <mergeCell ref="B105:D105"/>
    <mergeCell ref="B117:D117"/>
    <mergeCell ref="B122:D122"/>
    <mergeCell ref="B126:D126"/>
    <mergeCell ref="L3:L4"/>
    <mergeCell ref="O3:O4"/>
    <mergeCell ref="B5:E5"/>
    <mergeCell ref="B14:D14"/>
    <mergeCell ref="B39:D39"/>
    <mergeCell ref="B47:D47"/>
    <mergeCell ref="F3:F4"/>
    <mergeCell ref="G3:G4"/>
    <mergeCell ref="H3:H4"/>
    <mergeCell ref="I3:I4"/>
    <mergeCell ref="J3:J4"/>
    <mergeCell ref="K3:K4"/>
    <mergeCell ref="A1:P1"/>
    <mergeCell ref="A2:A4"/>
    <mergeCell ref="B2:B4"/>
    <mergeCell ref="C2:H2"/>
    <mergeCell ref="I2:L2"/>
    <mergeCell ref="N2:N4"/>
    <mergeCell ref="P2:P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7"/>
  <sheetViews>
    <sheetView tabSelected="1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125" sqref="K125"/>
    </sheetView>
  </sheetViews>
  <sheetFormatPr defaultColWidth="9.140625" defaultRowHeight="15" x14ac:dyDescent="0.25"/>
  <cols>
    <col min="1" max="1" width="7.42578125" style="3" customWidth="1"/>
    <col min="2" max="2" width="27" style="48" customWidth="1"/>
    <col min="3" max="3" width="7.85546875" style="3" customWidth="1"/>
    <col min="4" max="4" width="17.28515625" style="3" customWidth="1"/>
    <col min="5" max="5" width="17.42578125" style="3" customWidth="1"/>
    <col min="6" max="6" width="22" style="3" customWidth="1"/>
    <col min="7" max="8" width="20.140625" style="3" customWidth="1"/>
    <col min="9" max="10" width="13.28515625" style="3" customWidth="1"/>
    <col min="11" max="11" width="20.140625" style="3" customWidth="1"/>
    <col min="12" max="13" width="17.42578125" style="3" customWidth="1"/>
    <col min="14" max="14" width="18" style="3" customWidth="1"/>
    <col min="15" max="15" width="23.42578125" style="3" customWidth="1"/>
    <col min="16" max="16" width="27.140625" style="3" customWidth="1"/>
    <col min="17" max="17" width="9.140625" style="3"/>
    <col min="18" max="18" width="18.85546875" style="3" customWidth="1"/>
    <col min="19" max="16384" width="9.140625" style="3"/>
  </cols>
  <sheetData>
    <row r="1" spans="1:18" ht="29.25" customHeight="1" thickBot="1" x14ac:dyDescent="0.3">
      <c r="A1" s="1" t="s">
        <v>204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ht="29.25" customHeight="1" x14ac:dyDescent="0.25">
      <c r="A2" s="4" t="s">
        <v>1</v>
      </c>
      <c r="B2" s="5" t="s">
        <v>2</v>
      </c>
      <c r="C2" s="5" t="s">
        <v>3</v>
      </c>
      <c r="D2" s="5"/>
      <c r="E2" s="5"/>
      <c r="F2" s="5"/>
      <c r="G2" s="5"/>
      <c r="H2" s="5"/>
      <c r="I2" s="5"/>
      <c r="J2" s="5"/>
      <c r="K2" s="5"/>
      <c r="L2" s="5"/>
      <c r="M2" s="6"/>
      <c r="N2" s="7" t="s">
        <v>4</v>
      </c>
      <c r="O2" s="8"/>
      <c r="P2" s="9" t="s">
        <v>5</v>
      </c>
    </row>
    <row r="3" spans="1:18" ht="65.25" customHeight="1" x14ac:dyDescent="0.25">
      <c r="A3" s="10"/>
      <c r="B3" s="11"/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1" t="s">
        <v>14</v>
      </c>
      <c r="L3" s="11" t="s">
        <v>15</v>
      </c>
      <c r="M3" s="12" t="s">
        <v>16</v>
      </c>
      <c r="N3" s="13"/>
      <c r="O3" s="11" t="s">
        <v>17</v>
      </c>
      <c r="P3" s="14"/>
    </row>
    <row r="4" spans="1:18" ht="37.5" customHeight="1" thickBot="1" x14ac:dyDescent="0.3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7">
        <v>0.1</v>
      </c>
      <c r="N4" s="18"/>
      <c r="O4" s="16"/>
      <c r="P4" s="19"/>
    </row>
    <row r="5" spans="1:18" ht="37.5" customHeight="1" x14ac:dyDescent="0.25">
      <c r="A5" s="20" t="s">
        <v>18</v>
      </c>
      <c r="B5" s="21" t="s">
        <v>163</v>
      </c>
      <c r="C5" s="21"/>
      <c r="D5" s="21"/>
      <c r="E5" s="21"/>
      <c r="F5" s="22">
        <f>SUM(F6:F165)</f>
        <v>444095593.84800005</v>
      </c>
      <c r="G5" s="22">
        <f>SUM(G6:G165)</f>
        <v>61285191.951023996</v>
      </c>
      <c r="H5" s="22">
        <f>SUM(H6:H165)</f>
        <v>505380785.79902405</v>
      </c>
      <c r="I5" s="102">
        <f>K5/F5</f>
        <v>0.29165049845680802</v>
      </c>
      <c r="J5" s="20"/>
      <c r="K5" s="22">
        <f>SUM(K6:K165)</f>
        <v>129520701.30824137</v>
      </c>
      <c r="L5" s="22">
        <f>SUM(L6:L165)</f>
        <v>17873856.780537315</v>
      </c>
      <c r="M5" s="22">
        <f>SUM(M6:M165)</f>
        <v>12952070.130824139</v>
      </c>
      <c r="N5" s="22">
        <f>SUM(N6:N165)-N13</f>
        <v>134442487.95795456</v>
      </c>
      <c r="O5" s="22">
        <f>SUM(O6:O165)</f>
        <v>307738048.68975866</v>
      </c>
      <c r="P5" s="12"/>
      <c r="R5" s="23">
        <f>O5*1.18</f>
        <v>363130897.45391518</v>
      </c>
    </row>
    <row r="6" spans="1:18" ht="77.25" customHeight="1" x14ac:dyDescent="0.25">
      <c r="A6" s="12">
        <v>1</v>
      </c>
      <c r="B6" s="46" t="s">
        <v>20</v>
      </c>
      <c r="C6" s="34" t="s">
        <v>21</v>
      </c>
      <c r="D6" s="34">
        <v>1</v>
      </c>
      <c r="E6" s="35">
        <v>9000000</v>
      </c>
      <c r="F6" s="35">
        <f>D6*E6</f>
        <v>9000000</v>
      </c>
      <c r="G6" s="35">
        <f>F6*13.8%</f>
        <v>1242000</v>
      </c>
      <c r="H6" s="36">
        <f>F6+G6</f>
        <v>10242000</v>
      </c>
      <c r="I6" s="12">
        <v>0</v>
      </c>
      <c r="J6" s="12">
        <f>D6-I6</f>
        <v>1</v>
      </c>
      <c r="K6" s="35">
        <f>I6*E6</f>
        <v>0</v>
      </c>
      <c r="L6" s="35">
        <f>K6*13.8%</f>
        <v>0</v>
      </c>
      <c r="M6" s="35">
        <f>K6*10%</f>
        <v>0</v>
      </c>
      <c r="N6" s="36">
        <f>SUM(K6:L6)-M6</f>
        <v>0</v>
      </c>
      <c r="O6" s="36">
        <f>J6*E6</f>
        <v>9000000</v>
      </c>
      <c r="P6" s="12"/>
    </row>
    <row r="7" spans="1:18" ht="61.5" customHeight="1" x14ac:dyDescent="0.25">
      <c r="A7" s="12">
        <v>2</v>
      </c>
      <c r="B7" s="46" t="s">
        <v>22</v>
      </c>
      <c r="C7" s="34"/>
      <c r="D7" s="34"/>
      <c r="E7" s="35"/>
      <c r="F7" s="35"/>
      <c r="G7" s="35"/>
      <c r="H7" s="36"/>
      <c r="I7" s="12"/>
      <c r="J7" s="12"/>
      <c r="K7" s="35"/>
      <c r="L7" s="35"/>
      <c r="M7" s="35"/>
      <c r="N7" s="36"/>
      <c r="O7" s="36"/>
      <c r="P7" s="12"/>
    </row>
    <row r="8" spans="1:18" ht="30" x14ac:dyDescent="0.25">
      <c r="A8" s="12" t="s">
        <v>29</v>
      </c>
      <c r="B8" s="46" t="s">
        <v>23</v>
      </c>
      <c r="C8" s="97" t="s">
        <v>24</v>
      </c>
      <c r="D8" s="91"/>
      <c r="E8" s="103"/>
      <c r="F8" s="103"/>
      <c r="G8" s="103"/>
      <c r="H8" s="36"/>
      <c r="I8" s="12"/>
      <c r="J8" s="12"/>
      <c r="K8" s="35"/>
      <c r="L8" s="35"/>
      <c r="M8" s="35"/>
      <c r="N8" s="36"/>
      <c r="O8" s="36"/>
      <c r="P8" s="12"/>
    </row>
    <row r="9" spans="1:18" ht="45" x14ac:dyDescent="0.25">
      <c r="A9" s="12" t="s">
        <v>158</v>
      </c>
      <c r="B9" s="46" t="s">
        <v>25</v>
      </c>
      <c r="C9" s="97" t="s">
        <v>26</v>
      </c>
      <c r="D9" s="91">
        <v>1</v>
      </c>
      <c r="E9" s="35">
        <v>51000000</v>
      </c>
      <c r="F9" s="35">
        <f>D9*E9</f>
        <v>51000000</v>
      </c>
      <c r="G9" s="35">
        <f>F9*13.8%</f>
        <v>7038000.0000000009</v>
      </c>
      <c r="H9" s="36">
        <f>F9+G9</f>
        <v>58038000</v>
      </c>
      <c r="I9" s="12">
        <v>0</v>
      </c>
      <c r="J9" s="12">
        <f>D9-I9</f>
        <v>1</v>
      </c>
      <c r="K9" s="35">
        <f>I9*E9</f>
        <v>0</v>
      </c>
      <c r="L9" s="35">
        <f>K9*13.8%</f>
        <v>0</v>
      </c>
      <c r="M9" s="35">
        <f>K9*10%</f>
        <v>0</v>
      </c>
      <c r="N9" s="36">
        <f>SUM(K9:L9)-M9</f>
        <v>0</v>
      </c>
      <c r="O9" s="36">
        <f>J9*E9</f>
        <v>51000000</v>
      </c>
      <c r="P9" s="12"/>
    </row>
    <row r="10" spans="1:18" ht="37.5" customHeight="1" x14ac:dyDescent="0.25">
      <c r="A10" s="12" t="s">
        <v>205</v>
      </c>
      <c r="B10" s="46" t="s">
        <v>27</v>
      </c>
      <c r="C10" s="97" t="s">
        <v>26</v>
      </c>
      <c r="D10" s="91">
        <v>1</v>
      </c>
      <c r="E10" s="35">
        <v>95000000</v>
      </c>
      <c r="F10" s="35">
        <f>D10*E10</f>
        <v>95000000</v>
      </c>
      <c r="G10" s="35">
        <f>F10*13.8%</f>
        <v>13110000.000000002</v>
      </c>
      <c r="H10" s="36">
        <f>F10+G10</f>
        <v>108110000</v>
      </c>
      <c r="I10" s="12">
        <v>0</v>
      </c>
      <c r="J10" s="12">
        <f>D10-I10</f>
        <v>1</v>
      </c>
      <c r="K10" s="35">
        <f>I10*E10</f>
        <v>0</v>
      </c>
      <c r="L10" s="35">
        <f>K10*13.8%</f>
        <v>0</v>
      </c>
      <c r="M10" s="35">
        <f>K10*10%</f>
        <v>0</v>
      </c>
      <c r="N10" s="36">
        <f>SUM(K10:L10)-M10</f>
        <v>0</v>
      </c>
      <c r="O10" s="36">
        <f>J10*E10</f>
        <v>95000000</v>
      </c>
      <c r="P10" s="12"/>
    </row>
    <row r="13" spans="1:18" ht="37.5" customHeight="1" x14ac:dyDescent="0.25">
      <c r="A13" s="12" t="s">
        <v>56</v>
      </c>
      <c r="B13" s="33" t="s">
        <v>28</v>
      </c>
      <c r="C13" s="34" t="s">
        <v>26</v>
      </c>
      <c r="D13" s="34">
        <v>1</v>
      </c>
      <c r="E13" s="35"/>
      <c r="F13" s="35"/>
      <c r="G13" s="35"/>
      <c r="H13" s="36"/>
      <c r="I13" s="12"/>
      <c r="J13" s="12"/>
      <c r="K13" s="35"/>
      <c r="L13" s="35"/>
      <c r="M13" s="35"/>
      <c r="N13" s="36"/>
      <c r="O13" s="36"/>
      <c r="P13" s="12"/>
      <c r="R13" s="23">
        <f>SUM(K15:K149)</f>
        <v>106196735.79099999</v>
      </c>
    </row>
    <row r="14" spans="1:18" ht="37.5" customHeight="1" x14ac:dyDescent="0.25">
      <c r="A14" s="104" t="s">
        <v>206</v>
      </c>
      <c r="B14" s="105" t="s">
        <v>207</v>
      </c>
      <c r="C14" s="105"/>
      <c r="D14" s="105"/>
      <c r="E14" s="105"/>
      <c r="F14" s="105"/>
      <c r="G14" s="105"/>
      <c r="H14" s="105"/>
      <c r="I14" s="12"/>
      <c r="J14" s="12"/>
      <c r="K14" s="35"/>
      <c r="L14" s="35"/>
      <c r="M14" s="35"/>
      <c r="N14" s="36"/>
      <c r="O14" s="36"/>
      <c r="P14" s="12"/>
      <c r="R14" s="23"/>
    </row>
    <row r="15" spans="1:18" ht="37.5" customHeight="1" x14ac:dyDescent="0.25">
      <c r="A15" s="106">
        <v>1</v>
      </c>
      <c r="B15" s="107" t="s">
        <v>208</v>
      </c>
      <c r="C15" s="108" t="s">
        <v>26</v>
      </c>
      <c r="D15" s="108">
        <v>1</v>
      </c>
      <c r="E15" s="35">
        <v>1000000</v>
      </c>
      <c r="F15" s="35">
        <f>D15*E15</f>
        <v>1000000</v>
      </c>
      <c r="G15" s="35">
        <f>F15*13.8%</f>
        <v>138000</v>
      </c>
      <c r="H15" s="36">
        <f>F15+G15</f>
        <v>1138000</v>
      </c>
      <c r="I15" s="12">
        <v>1</v>
      </c>
      <c r="J15" s="12">
        <f>D15-I15</f>
        <v>0</v>
      </c>
      <c r="K15" s="35">
        <f>I15*E15</f>
        <v>1000000</v>
      </c>
      <c r="L15" s="35">
        <f>K15*13.8%</f>
        <v>138000</v>
      </c>
      <c r="M15" s="35">
        <f>K15*10%</f>
        <v>100000</v>
      </c>
      <c r="N15" s="36">
        <f>SUM(K15:L15)-M15</f>
        <v>1038000</v>
      </c>
      <c r="O15" s="36">
        <f>J15*E15</f>
        <v>0</v>
      </c>
      <c r="P15" s="12"/>
      <c r="R15" s="23"/>
    </row>
    <row r="16" spans="1:18" ht="82.5" customHeight="1" x14ac:dyDescent="0.25">
      <c r="A16" s="106">
        <v>2</v>
      </c>
      <c r="B16" s="107" t="s">
        <v>209</v>
      </c>
      <c r="C16" s="108" t="s">
        <v>210</v>
      </c>
      <c r="D16" s="108">
        <v>36000</v>
      </c>
      <c r="E16" s="109">
        <v>30</v>
      </c>
      <c r="F16" s="109">
        <f>E16*D16</f>
        <v>1080000</v>
      </c>
      <c r="G16" s="35">
        <f t="shared" ref="G16:G113" si="0">F16*13.8%</f>
        <v>149040</v>
      </c>
      <c r="H16" s="36">
        <f t="shared" ref="H16:H105" si="1">F16+G16</f>
        <v>1229040</v>
      </c>
      <c r="I16" s="12">
        <f>30316+5684</f>
        <v>36000</v>
      </c>
      <c r="J16" s="12">
        <f t="shared" ref="J16:J24" si="2">D16-I16</f>
        <v>0</v>
      </c>
      <c r="K16" s="35">
        <f t="shared" ref="K16:K24" si="3">I16*E16</f>
        <v>1080000</v>
      </c>
      <c r="L16" s="35">
        <f t="shared" ref="L16:L24" si="4">K16*13.8%</f>
        <v>149040</v>
      </c>
      <c r="M16" s="35">
        <f t="shared" ref="M16:M24" si="5">K16*10%</f>
        <v>108000</v>
      </c>
      <c r="N16" s="36">
        <f t="shared" ref="N16:N24" si="6">SUM(K16:L16)-M16</f>
        <v>1121040</v>
      </c>
      <c r="O16" s="36">
        <f t="shared" ref="O16:O24" si="7">J16*E16</f>
        <v>0</v>
      </c>
      <c r="P16" s="12"/>
      <c r="R16" s="23"/>
    </row>
    <row r="17" spans="1:18" ht="37.5" customHeight="1" x14ac:dyDescent="0.25">
      <c r="A17" s="110">
        <v>3</v>
      </c>
      <c r="B17" s="107" t="s">
        <v>211</v>
      </c>
      <c r="C17" s="108" t="s">
        <v>212</v>
      </c>
      <c r="D17" s="108">
        <v>73600</v>
      </c>
      <c r="E17" s="109">
        <v>425</v>
      </c>
      <c r="F17" s="109">
        <f>E17*D17</f>
        <v>31280000</v>
      </c>
      <c r="G17" s="35">
        <f t="shared" si="0"/>
        <v>4316640</v>
      </c>
      <c r="H17" s="36">
        <f t="shared" si="1"/>
        <v>35596640</v>
      </c>
      <c r="I17" s="12">
        <f>6882.34+4924.57+12267+7426.16+4250+3697.05</f>
        <v>39447.120000000003</v>
      </c>
      <c r="J17" s="12">
        <f t="shared" si="2"/>
        <v>34152.879999999997</v>
      </c>
      <c r="K17" s="35">
        <f t="shared" si="3"/>
        <v>16765026.000000002</v>
      </c>
      <c r="L17" s="35">
        <f t="shared" si="4"/>
        <v>2313573.5880000005</v>
      </c>
      <c r="M17" s="35">
        <f t="shared" si="5"/>
        <v>1676502.6000000003</v>
      </c>
      <c r="N17" s="36">
        <f t="shared" si="6"/>
        <v>17402096.988000002</v>
      </c>
      <c r="O17" s="36">
        <f t="shared" si="7"/>
        <v>14514973.999999998</v>
      </c>
      <c r="P17" s="12"/>
      <c r="R17" s="23"/>
    </row>
    <row r="18" spans="1:18" ht="37.5" customHeight="1" x14ac:dyDescent="0.25">
      <c r="A18" s="110">
        <v>4</v>
      </c>
      <c r="B18" s="107" t="s">
        <v>213</v>
      </c>
      <c r="C18" s="108" t="s">
        <v>214</v>
      </c>
      <c r="D18" s="108">
        <v>6</v>
      </c>
      <c r="E18" s="109">
        <v>166666.66666666666</v>
      </c>
      <c r="F18" s="109">
        <f>E18*D18</f>
        <v>1000000</v>
      </c>
      <c r="G18" s="35">
        <f t="shared" si="0"/>
        <v>138000</v>
      </c>
      <c r="H18" s="36">
        <f t="shared" si="1"/>
        <v>1138000</v>
      </c>
      <c r="I18" s="12">
        <v>6</v>
      </c>
      <c r="J18" s="12">
        <f t="shared" si="2"/>
        <v>0</v>
      </c>
      <c r="K18" s="35">
        <f t="shared" si="3"/>
        <v>1000000</v>
      </c>
      <c r="L18" s="35">
        <f t="shared" si="4"/>
        <v>138000</v>
      </c>
      <c r="M18" s="35">
        <f t="shared" si="5"/>
        <v>100000</v>
      </c>
      <c r="N18" s="36">
        <f t="shared" si="6"/>
        <v>1038000</v>
      </c>
      <c r="O18" s="36">
        <f t="shared" si="7"/>
        <v>0</v>
      </c>
      <c r="P18" s="12"/>
      <c r="R18" s="23"/>
    </row>
    <row r="19" spans="1:18" ht="37.5" customHeight="1" x14ac:dyDescent="0.25">
      <c r="A19" s="110">
        <v>5</v>
      </c>
      <c r="B19" s="107" t="s">
        <v>215</v>
      </c>
      <c r="C19" s="108" t="s">
        <v>214</v>
      </c>
      <c r="D19" s="108">
        <v>2</v>
      </c>
      <c r="E19" s="109">
        <v>1000000</v>
      </c>
      <c r="F19" s="109">
        <f>E19*D19</f>
        <v>2000000</v>
      </c>
      <c r="G19" s="35">
        <f t="shared" si="0"/>
        <v>276000</v>
      </c>
      <c r="H19" s="36">
        <f t="shared" si="1"/>
        <v>2276000</v>
      </c>
      <c r="I19" s="12">
        <v>2</v>
      </c>
      <c r="J19" s="12">
        <f t="shared" si="2"/>
        <v>0</v>
      </c>
      <c r="K19" s="35">
        <f t="shared" si="3"/>
        <v>2000000</v>
      </c>
      <c r="L19" s="35">
        <f t="shared" si="4"/>
        <v>276000</v>
      </c>
      <c r="M19" s="35">
        <f t="shared" si="5"/>
        <v>200000</v>
      </c>
      <c r="N19" s="36">
        <f t="shared" si="6"/>
        <v>2076000</v>
      </c>
      <c r="O19" s="36">
        <f t="shared" si="7"/>
        <v>0</v>
      </c>
      <c r="P19" s="12"/>
      <c r="R19" s="23"/>
    </row>
    <row r="20" spans="1:18" ht="37.5" customHeight="1" x14ac:dyDescent="0.25">
      <c r="A20" s="110">
        <v>6</v>
      </c>
      <c r="B20" s="107" t="s">
        <v>216</v>
      </c>
      <c r="C20" s="108" t="s">
        <v>217</v>
      </c>
      <c r="D20" s="108">
        <v>95</v>
      </c>
      <c r="E20" s="109">
        <v>2500</v>
      </c>
      <c r="F20" s="109">
        <f>D20*E20</f>
        <v>237500</v>
      </c>
      <c r="G20" s="35">
        <f t="shared" si="0"/>
        <v>32775</v>
      </c>
      <c r="H20" s="36">
        <f t="shared" si="1"/>
        <v>270275</v>
      </c>
      <c r="I20" s="12">
        <f>60+35</f>
        <v>95</v>
      </c>
      <c r="J20" s="12">
        <f t="shared" si="2"/>
        <v>0</v>
      </c>
      <c r="K20" s="35">
        <f t="shared" si="3"/>
        <v>237500</v>
      </c>
      <c r="L20" s="35">
        <f t="shared" si="4"/>
        <v>32775</v>
      </c>
      <c r="M20" s="35">
        <f t="shared" si="5"/>
        <v>23750</v>
      </c>
      <c r="N20" s="36">
        <f t="shared" si="6"/>
        <v>246525</v>
      </c>
      <c r="O20" s="36">
        <f t="shared" si="7"/>
        <v>0</v>
      </c>
      <c r="P20" s="12"/>
      <c r="R20" s="23"/>
    </row>
    <row r="21" spans="1:18" ht="37.5" customHeight="1" x14ac:dyDescent="0.25">
      <c r="A21" s="110">
        <v>7</v>
      </c>
      <c r="B21" s="107" t="s">
        <v>218</v>
      </c>
      <c r="C21" s="108" t="s">
        <v>217</v>
      </c>
      <c r="D21" s="108">
        <v>400</v>
      </c>
      <c r="E21" s="109">
        <v>2700</v>
      </c>
      <c r="F21" s="109">
        <f>D21*E21</f>
        <v>1080000</v>
      </c>
      <c r="G21" s="35">
        <f t="shared" si="0"/>
        <v>149040</v>
      </c>
      <c r="H21" s="36">
        <f t="shared" si="1"/>
        <v>1229040</v>
      </c>
      <c r="I21" s="12">
        <v>150</v>
      </c>
      <c r="J21" s="12">
        <f t="shared" si="2"/>
        <v>250</v>
      </c>
      <c r="K21" s="35">
        <f t="shared" si="3"/>
        <v>405000</v>
      </c>
      <c r="L21" s="35">
        <f t="shared" si="4"/>
        <v>55890.000000000007</v>
      </c>
      <c r="M21" s="35">
        <f t="shared" si="5"/>
        <v>40500</v>
      </c>
      <c r="N21" s="36">
        <f t="shared" si="6"/>
        <v>420390</v>
      </c>
      <c r="O21" s="36">
        <f t="shared" si="7"/>
        <v>675000</v>
      </c>
      <c r="P21" s="12"/>
      <c r="R21" s="23"/>
    </row>
    <row r="22" spans="1:18" ht="64.5" customHeight="1" x14ac:dyDescent="0.25">
      <c r="A22" s="110">
        <v>8</v>
      </c>
      <c r="B22" s="107" t="s">
        <v>219</v>
      </c>
      <c r="C22" s="108" t="s">
        <v>217</v>
      </c>
      <c r="D22" s="108">
        <v>495</v>
      </c>
      <c r="E22" s="109">
        <v>191</v>
      </c>
      <c r="F22" s="109">
        <f>D22*E22</f>
        <v>94545</v>
      </c>
      <c r="G22" s="35">
        <f t="shared" si="0"/>
        <v>13047.210000000001</v>
      </c>
      <c r="H22" s="36">
        <f t="shared" si="1"/>
        <v>107592.21</v>
      </c>
      <c r="I22" s="12">
        <v>0</v>
      </c>
      <c r="J22" s="12">
        <f t="shared" si="2"/>
        <v>495</v>
      </c>
      <c r="K22" s="35">
        <f t="shared" si="3"/>
        <v>0</v>
      </c>
      <c r="L22" s="35">
        <f t="shared" si="4"/>
        <v>0</v>
      </c>
      <c r="M22" s="35">
        <f t="shared" si="5"/>
        <v>0</v>
      </c>
      <c r="N22" s="36">
        <f t="shared" si="6"/>
        <v>0</v>
      </c>
      <c r="O22" s="36">
        <f t="shared" si="7"/>
        <v>94545</v>
      </c>
      <c r="P22" s="12"/>
      <c r="R22" s="23"/>
    </row>
    <row r="23" spans="1:18" ht="37.5" customHeight="1" x14ac:dyDescent="0.25">
      <c r="A23" s="110">
        <v>9</v>
      </c>
      <c r="B23" s="107" t="s">
        <v>220</v>
      </c>
      <c r="C23" s="108" t="s">
        <v>217</v>
      </c>
      <c r="D23" s="108">
        <v>952</v>
      </c>
      <c r="E23" s="109">
        <v>1055</v>
      </c>
      <c r="F23" s="109">
        <f>E23*D23</f>
        <v>1004360</v>
      </c>
      <c r="G23" s="35">
        <f t="shared" si="0"/>
        <v>138601.68000000002</v>
      </c>
      <c r="H23" s="36">
        <f t="shared" si="1"/>
        <v>1142961.68</v>
      </c>
      <c r="I23" s="12">
        <f>250+150</f>
        <v>400</v>
      </c>
      <c r="J23" s="12">
        <f t="shared" si="2"/>
        <v>552</v>
      </c>
      <c r="K23" s="35">
        <f t="shared" si="3"/>
        <v>422000</v>
      </c>
      <c r="L23" s="35">
        <f t="shared" si="4"/>
        <v>58236.000000000007</v>
      </c>
      <c r="M23" s="35">
        <f t="shared" si="5"/>
        <v>42200</v>
      </c>
      <c r="N23" s="36">
        <f t="shared" si="6"/>
        <v>438036</v>
      </c>
      <c r="O23" s="36">
        <f t="shared" si="7"/>
        <v>582360</v>
      </c>
      <c r="P23" s="12"/>
      <c r="R23" s="23"/>
    </row>
    <row r="24" spans="1:18" ht="37.5" customHeight="1" x14ac:dyDescent="0.25">
      <c r="A24" s="110">
        <v>10</v>
      </c>
      <c r="B24" s="107" t="s">
        <v>221</v>
      </c>
      <c r="C24" s="108" t="s">
        <v>26</v>
      </c>
      <c r="D24" s="108">
        <v>1</v>
      </c>
      <c r="E24" s="109">
        <v>1500000</v>
      </c>
      <c r="F24" s="109">
        <f>E24*D24</f>
        <v>1500000</v>
      </c>
      <c r="G24" s="35">
        <f t="shared" si="0"/>
        <v>207000.00000000003</v>
      </c>
      <c r="H24" s="36">
        <f t="shared" si="1"/>
        <v>1707000</v>
      </c>
      <c r="I24" s="12">
        <v>1</v>
      </c>
      <c r="J24" s="12">
        <f t="shared" si="2"/>
        <v>0</v>
      </c>
      <c r="K24" s="35">
        <f t="shared" si="3"/>
        <v>1500000</v>
      </c>
      <c r="L24" s="35">
        <f t="shared" si="4"/>
        <v>207000.00000000003</v>
      </c>
      <c r="M24" s="35">
        <f t="shared" si="5"/>
        <v>150000</v>
      </c>
      <c r="N24" s="36">
        <f t="shared" si="6"/>
        <v>1557000</v>
      </c>
      <c r="O24" s="36">
        <f t="shared" si="7"/>
        <v>0</v>
      </c>
      <c r="P24" s="12"/>
      <c r="R24" s="23"/>
    </row>
    <row r="25" spans="1:18" ht="37.5" customHeight="1" x14ac:dyDescent="0.25">
      <c r="A25" s="12"/>
      <c r="B25" s="33"/>
      <c r="C25" s="34"/>
      <c r="D25" s="34"/>
      <c r="E25" s="35"/>
      <c r="F25" s="35"/>
      <c r="G25" s="35"/>
      <c r="H25" s="36"/>
      <c r="I25" s="12"/>
      <c r="J25" s="12"/>
      <c r="K25" s="35"/>
      <c r="L25" s="35"/>
      <c r="M25" s="35"/>
      <c r="N25" s="36"/>
      <c r="O25" s="36"/>
      <c r="P25" s="12"/>
      <c r="R25" s="23"/>
    </row>
    <row r="26" spans="1:18" ht="59.25" customHeight="1" x14ac:dyDescent="0.25">
      <c r="A26" s="104" t="s">
        <v>222</v>
      </c>
      <c r="B26" s="111" t="s">
        <v>223</v>
      </c>
      <c r="C26" s="41" t="s">
        <v>224</v>
      </c>
      <c r="D26" s="104">
        <v>1</v>
      </c>
      <c r="E26" s="109">
        <v>57500000</v>
      </c>
      <c r="F26" s="109"/>
      <c r="G26" s="35"/>
      <c r="H26" s="36"/>
      <c r="I26" s="12"/>
      <c r="J26" s="12"/>
      <c r="K26" s="35"/>
      <c r="L26" s="35"/>
      <c r="M26" s="35"/>
      <c r="N26" s="36"/>
      <c r="O26" s="36"/>
      <c r="P26" s="12"/>
      <c r="R26" s="23"/>
    </row>
    <row r="27" spans="1:18" ht="59.25" customHeight="1" x14ac:dyDescent="0.25">
      <c r="A27" s="12" t="s">
        <v>225</v>
      </c>
      <c r="B27" s="44" t="s">
        <v>226</v>
      </c>
      <c r="C27" s="12" t="s">
        <v>227</v>
      </c>
      <c r="D27" s="34">
        <v>1</v>
      </c>
      <c r="E27" s="35"/>
      <c r="F27" s="35"/>
      <c r="G27" s="35"/>
      <c r="H27" s="36"/>
      <c r="I27" s="12"/>
      <c r="J27" s="12"/>
      <c r="K27" s="35"/>
      <c r="L27" s="35"/>
      <c r="M27" s="35"/>
      <c r="N27" s="36"/>
      <c r="O27" s="36"/>
      <c r="P27" s="12"/>
      <c r="R27" s="23"/>
    </row>
    <row r="28" spans="1:18" ht="59.25" customHeight="1" x14ac:dyDescent="0.25">
      <c r="A28" s="12" t="s">
        <v>228</v>
      </c>
      <c r="B28" s="44" t="s">
        <v>229</v>
      </c>
      <c r="C28" s="12" t="s">
        <v>32</v>
      </c>
      <c r="D28" s="112">
        <v>20</v>
      </c>
      <c r="E28" s="35">
        <f>1400000/D28</f>
        <v>70000</v>
      </c>
      <c r="F28" s="35">
        <f>E28*D28</f>
        <v>1400000</v>
      </c>
      <c r="G28" s="35">
        <f t="shared" ref="G28:G30" si="8">F28*13.8%</f>
        <v>193200.00000000003</v>
      </c>
      <c r="H28" s="36">
        <f t="shared" ref="H28:H30" si="9">F28+G28</f>
        <v>1593200</v>
      </c>
      <c r="I28" s="12">
        <v>20</v>
      </c>
      <c r="J28" s="12">
        <f t="shared" ref="J28:J30" si="10">D28-I28</f>
        <v>0</v>
      </c>
      <c r="K28" s="35">
        <f t="shared" ref="K28:K30" si="11">I28*E28</f>
        <v>1400000</v>
      </c>
      <c r="L28" s="35">
        <f t="shared" ref="L28:L30" si="12">K28*13.8%</f>
        <v>193200.00000000003</v>
      </c>
      <c r="M28" s="35">
        <f t="shared" ref="M28:M30" si="13">K28*10%</f>
        <v>140000</v>
      </c>
      <c r="N28" s="36">
        <f t="shared" ref="N28:N30" si="14">SUM(K28:L28)-M28</f>
        <v>1453200</v>
      </c>
      <c r="O28" s="36">
        <f t="shared" ref="O28:O30" si="15">J28*E28</f>
        <v>0</v>
      </c>
      <c r="P28" s="12"/>
      <c r="R28" s="23"/>
    </row>
    <row r="29" spans="1:18" ht="59.25" customHeight="1" x14ac:dyDescent="0.25">
      <c r="A29" s="12" t="s">
        <v>230</v>
      </c>
      <c r="B29" s="44" t="s">
        <v>231</v>
      </c>
      <c r="C29" s="12" t="s">
        <v>32</v>
      </c>
      <c r="D29" s="112">
        <v>40</v>
      </c>
      <c r="E29" s="35">
        <f>2800000/D29</f>
        <v>70000</v>
      </c>
      <c r="F29" s="35">
        <f>E29*D29</f>
        <v>2800000</v>
      </c>
      <c r="G29" s="35">
        <f t="shared" si="8"/>
        <v>386400.00000000006</v>
      </c>
      <c r="H29" s="36">
        <f t="shared" si="9"/>
        <v>3186400</v>
      </c>
      <c r="I29" s="12">
        <v>40</v>
      </c>
      <c r="J29" s="12">
        <f t="shared" si="10"/>
        <v>0</v>
      </c>
      <c r="K29" s="35">
        <f t="shared" si="11"/>
        <v>2800000</v>
      </c>
      <c r="L29" s="35">
        <f t="shared" si="12"/>
        <v>386400.00000000006</v>
      </c>
      <c r="M29" s="35">
        <f t="shared" si="13"/>
        <v>280000</v>
      </c>
      <c r="N29" s="36">
        <f t="shared" si="14"/>
        <v>2906400</v>
      </c>
      <c r="O29" s="36">
        <f t="shared" si="15"/>
        <v>0</v>
      </c>
      <c r="P29" s="12"/>
      <c r="R29" s="23"/>
    </row>
    <row r="30" spans="1:18" ht="59.25" customHeight="1" x14ac:dyDescent="0.25">
      <c r="A30" s="12" t="s">
        <v>232</v>
      </c>
      <c r="B30" s="44" t="s">
        <v>233</v>
      </c>
      <c r="C30" s="12" t="s">
        <v>32</v>
      </c>
      <c r="D30" s="112">
        <v>40</v>
      </c>
      <c r="E30" s="35">
        <f>2800000/D30</f>
        <v>70000</v>
      </c>
      <c r="F30" s="35">
        <f>E30*D30</f>
        <v>2800000</v>
      </c>
      <c r="G30" s="35">
        <f t="shared" si="8"/>
        <v>386400.00000000006</v>
      </c>
      <c r="H30" s="36">
        <f t="shared" si="9"/>
        <v>3186400</v>
      </c>
      <c r="I30" s="12">
        <v>40</v>
      </c>
      <c r="J30" s="12">
        <f t="shared" si="10"/>
        <v>0</v>
      </c>
      <c r="K30" s="35">
        <f t="shared" si="11"/>
        <v>2800000</v>
      </c>
      <c r="L30" s="35">
        <f t="shared" si="12"/>
        <v>386400.00000000006</v>
      </c>
      <c r="M30" s="35">
        <f t="shared" si="13"/>
        <v>280000</v>
      </c>
      <c r="N30" s="36">
        <f t="shared" si="14"/>
        <v>2906400</v>
      </c>
      <c r="O30" s="36">
        <f t="shared" si="15"/>
        <v>0</v>
      </c>
      <c r="P30" s="12"/>
      <c r="R30" s="23"/>
    </row>
    <row r="31" spans="1:18" ht="59.25" customHeight="1" x14ac:dyDescent="0.25">
      <c r="A31" s="12" t="s">
        <v>234</v>
      </c>
      <c r="B31" s="44" t="s">
        <v>235</v>
      </c>
      <c r="C31" s="12" t="s">
        <v>227</v>
      </c>
      <c r="D31" s="34">
        <v>2</v>
      </c>
      <c r="E31" s="35"/>
      <c r="F31" s="35"/>
      <c r="G31" s="35"/>
      <c r="H31" s="36"/>
      <c r="I31" s="12"/>
      <c r="J31" s="12"/>
      <c r="K31" s="35"/>
      <c r="L31" s="35"/>
      <c r="M31" s="35"/>
      <c r="N31" s="36"/>
      <c r="O31" s="36"/>
      <c r="P31" s="12"/>
      <c r="R31" s="23"/>
    </row>
    <row r="32" spans="1:18" ht="59.25" customHeight="1" x14ac:dyDescent="0.25">
      <c r="A32" s="12" t="s">
        <v>236</v>
      </c>
      <c r="B32" s="44" t="s">
        <v>237</v>
      </c>
      <c r="C32" s="12" t="s">
        <v>32</v>
      </c>
      <c r="D32" s="112">
        <v>40</v>
      </c>
      <c r="E32" s="35">
        <f>600000/D32</f>
        <v>15000</v>
      </c>
      <c r="F32" s="35">
        <f>E32*D32</f>
        <v>600000</v>
      </c>
      <c r="G32" s="35">
        <f t="shared" ref="G32:G62" si="16">F32*13.8%</f>
        <v>82800</v>
      </c>
      <c r="H32" s="36">
        <f t="shared" ref="H32:H62" si="17">F32+G32</f>
        <v>682800</v>
      </c>
      <c r="I32" s="12">
        <f>40</f>
        <v>40</v>
      </c>
      <c r="J32" s="12">
        <f t="shared" ref="J32:J62" si="18">D32-I32</f>
        <v>0</v>
      </c>
      <c r="K32" s="35">
        <f t="shared" ref="K32:K62" si="19">I32*E32</f>
        <v>600000</v>
      </c>
      <c r="L32" s="35">
        <f t="shared" ref="L32:L62" si="20">K32*13.8%</f>
        <v>82800</v>
      </c>
      <c r="M32" s="35">
        <f t="shared" ref="M32:M62" si="21">K32*10%</f>
        <v>60000</v>
      </c>
      <c r="N32" s="36">
        <f t="shared" ref="N32:N62" si="22">SUM(K32:L32)-M32</f>
        <v>622800</v>
      </c>
      <c r="O32" s="36">
        <f t="shared" ref="O32:O62" si="23">J32*E32</f>
        <v>0</v>
      </c>
      <c r="P32" s="12"/>
      <c r="R32" s="23"/>
    </row>
    <row r="33" spans="1:18" ht="59.25" customHeight="1" x14ac:dyDescent="0.25">
      <c r="A33" s="12" t="s">
        <v>238</v>
      </c>
      <c r="B33" s="44" t="s">
        <v>239</v>
      </c>
      <c r="C33" s="12" t="s">
        <v>32</v>
      </c>
      <c r="D33" s="112">
        <v>60</v>
      </c>
      <c r="E33" s="35">
        <f>900000/D33</f>
        <v>15000</v>
      </c>
      <c r="F33" s="35">
        <f>E33*D33</f>
        <v>900000</v>
      </c>
      <c r="G33" s="35">
        <f t="shared" si="16"/>
        <v>124200.00000000001</v>
      </c>
      <c r="H33" s="36">
        <f t="shared" si="17"/>
        <v>1024200</v>
      </c>
      <c r="I33" s="12">
        <v>60</v>
      </c>
      <c r="J33" s="12">
        <f t="shared" si="18"/>
        <v>0</v>
      </c>
      <c r="K33" s="35">
        <f t="shared" si="19"/>
        <v>900000</v>
      </c>
      <c r="L33" s="35">
        <f t="shared" si="20"/>
        <v>124200.00000000001</v>
      </c>
      <c r="M33" s="35">
        <f t="shared" si="21"/>
        <v>90000</v>
      </c>
      <c r="N33" s="36">
        <f t="shared" si="22"/>
        <v>934200</v>
      </c>
      <c r="O33" s="36">
        <f t="shared" si="23"/>
        <v>0</v>
      </c>
      <c r="P33" s="12"/>
      <c r="R33" s="23"/>
    </row>
    <row r="34" spans="1:18" ht="59.25" customHeight="1" x14ac:dyDescent="0.25">
      <c r="A34" s="12" t="s">
        <v>240</v>
      </c>
      <c r="B34" s="44" t="s">
        <v>241</v>
      </c>
      <c r="C34" s="12" t="s">
        <v>227</v>
      </c>
      <c r="D34" s="112">
        <v>2</v>
      </c>
      <c r="E34" s="35"/>
      <c r="F34" s="35"/>
      <c r="G34" s="35"/>
      <c r="H34" s="36"/>
      <c r="I34" s="12"/>
      <c r="J34" s="12"/>
      <c r="K34" s="35"/>
      <c r="L34" s="35"/>
      <c r="M34" s="35"/>
      <c r="N34" s="36"/>
      <c r="O34" s="36"/>
      <c r="P34" s="12"/>
      <c r="R34" s="23"/>
    </row>
    <row r="35" spans="1:18" ht="59.25" customHeight="1" x14ac:dyDescent="0.25">
      <c r="A35" s="12" t="s">
        <v>242</v>
      </c>
      <c r="B35" s="44" t="s">
        <v>237</v>
      </c>
      <c r="C35" s="12" t="s">
        <v>32</v>
      </c>
      <c r="D35" s="112">
        <v>40</v>
      </c>
      <c r="E35" s="35">
        <f>600000/D35</f>
        <v>15000</v>
      </c>
      <c r="F35" s="35">
        <f>E35*D35</f>
        <v>600000</v>
      </c>
      <c r="G35" s="35">
        <f t="shared" si="16"/>
        <v>82800</v>
      </c>
      <c r="H35" s="36">
        <f t="shared" si="17"/>
        <v>682800</v>
      </c>
      <c r="I35" s="12">
        <v>40</v>
      </c>
      <c r="J35" s="12">
        <f t="shared" si="18"/>
        <v>0</v>
      </c>
      <c r="K35" s="35">
        <f t="shared" si="19"/>
        <v>600000</v>
      </c>
      <c r="L35" s="35">
        <f t="shared" si="20"/>
        <v>82800</v>
      </c>
      <c r="M35" s="35">
        <f t="shared" si="21"/>
        <v>60000</v>
      </c>
      <c r="N35" s="36">
        <f t="shared" si="22"/>
        <v>622800</v>
      </c>
      <c r="O35" s="36">
        <f t="shared" si="23"/>
        <v>0</v>
      </c>
      <c r="P35" s="12"/>
      <c r="R35" s="23"/>
    </row>
    <row r="36" spans="1:18" ht="59.25" customHeight="1" x14ac:dyDescent="0.25">
      <c r="A36" s="12" t="s">
        <v>243</v>
      </c>
      <c r="B36" s="44" t="s">
        <v>239</v>
      </c>
      <c r="C36" s="12" t="s">
        <v>32</v>
      </c>
      <c r="D36" s="112">
        <v>60</v>
      </c>
      <c r="E36" s="35">
        <f>900000/D36</f>
        <v>15000</v>
      </c>
      <c r="F36" s="35">
        <f>E36*D36</f>
        <v>900000</v>
      </c>
      <c r="G36" s="35">
        <f t="shared" si="16"/>
        <v>124200.00000000001</v>
      </c>
      <c r="H36" s="36">
        <f t="shared" si="17"/>
        <v>1024200</v>
      </c>
      <c r="I36" s="12">
        <v>60</v>
      </c>
      <c r="J36" s="12">
        <f t="shared" si="18"/>
        <v>0</v>
      </c>
      <c r="K36" s="35">
        <f t="shared" si="19"/>
        <v>900000</v>
      </c>
      <c r="L36" s="35">
        <f t="shared" si="20"/>
        <v>124200.00000000001</v>
      </c>
      <c r="M36" s="35">
        <f t="shared" si="21"/>
        <v>90000</v>
      </c>
      <c r="N36" s="36">
        <f t="shared" si="22"/>
        <v>934200</v>
      </c>
      <c r="O36" s="36">
        <f t="shared" si="23"/>
        <v>0</v>
      </c>
      <c r="P36" s="12"/>
      <c r="R36" s="23"/>
    </row>
    <row r="37" spans="1:18" ht="59.25" customHeight="1" x14ac:dyDescent="0.25">
      <c r="A37" s="12" t="s">
        <v>244</v>
      </c>
      <c r="B37" s="44" t="s">
        <v>245</v>
      </c>
      <c r="C37" s="12" t="s">
        <v>227</v>
      </c>
      <c r="D37" s="34">
        <v>2</v>
      </c>
      <c r="E37" s="35"/>
      <c r="F37" s="35"/>
      <c r="G37" s="35"/>
      <c r="H37" s="36"/>
      <c r="I37" s="12"/>
      <c r="J37" s="12"/>
      <c r="K37" s="35"/>
      <c r="L37" s="35"/>
      <c r="M37" s="35"/>
      <c r="N37" s="36"/>
      <c r="O37" s="36"/>
      <c r="P37" s="12"/>
      <c r="R37" s="23"/>
    </row>
    <row r="38" spans="1:18" ht="59.25" customHeight="1" x14ac:dyDescent="0.25">
      <c r="A38" s="12" t="s">
        <v>246</v>
      </c>
      <c r="B38" s="44" t="s">
        <v>237</v>
      </c>
      <c r="C38" s="12" t="s">
        <v>32</v>
      </c>
      <c r="D38" s="112">
        <v>40</v>
      </c>
      <c r="E38" s="35">
        <f>400000/D38</f>
        <v>10000</v>
      </c>
      <c r="F38" s="35">
        <f>E38*D38</f>
        <v>400000</v>
      </c>
      <c r="G38" s="35">
        <f t="shared" si="16"/>
        <v>55200.000000000007</v>
      </c>
      <c r="H38" s="36">
        <f t="shared" si="17"/>
        <v>455200</v>
      </c>
      <c r="I38" s="12">
        <v>40</v>
      </c>
      <c r="J38" s="12">
        <f t="shared" si="18"/>
        <v>0</v>
      </c>
      <c r="K38" s="35">
        <f t="shared" si="19"/>
        <v>400000</v>
      </c>
      <c r="L38" s="35">
        <f t="shared" si="20"/>
        <v>55200.000000000007</v>
      </c>
      <c r="M38" s="35">
        <f t="shared" si="21"/>
        <v>40000</v>
      </c>
      <c r="N38" s="36">
        <f t="shared" si="22"/>
        <v>415200</v>
      </c>
      <c r="O38" s="36">
        <f t="shared" si="23"/>
        <v>0</v>
      </c>
      <c r="P38" s="12"/>
      <c r="R38" s="23"/>
    </row>
    <row r="39" spans="1:18" ht="59.25" customHeight="1" x14ac:dyDescent="0.25">
      <c r="A39" s="12" t="s">
        <v>247</v>
      </c>
      <c r="B39" s="44" t="s">
        <v>239</v>
      </c>
      <c r="C39" s="12" t="s">
        <v>32</v>
      </c>
      <c r="D39" s="112">
        <v>60</v>
      </c>
      <c r="E39" s="35">
        <f>600000/D39</f>
        <v>10000</v>
      </c>
      <c r="F39" s="35">
        <f>E39*D39</f>
        <v>600000</v>
      </c>
      <c r="G39" s="35">
        <f t="shared" si="16"/>
        <v>82800</v>
      </c>
      <c r="H39" s="36">
        <f t="shared" si="17"/>
        <v>682800</v>
      </c>
      <c r="I39" s="12">
        <v>60</v>
      </c>
      <c r="J39" s="12">
        <f t="shared" si="18"/>
        <v>0</v>
      </c>
      <c r="K39" s="35">
        <f t="shared" si="19"/>
        <v>600000</v>
      </c>
      <c r="L39" s="35">
        <f t="shared" si="20"/>
        <v>82800</v>
      </c>
      <c r="M39" s="35">
        <f t="shared" si="21"/>
        <v>60000</v>
      </c>
      <c r="N39" s="36">
        <f t="shared" si="22"/>
        <v>622800</v>
      </c>
      <c r="O39" s="36">
        <f t="shared" si="23"/>
        <v>0</v>
      </c>
      <c r="P39" s="12"/>
      <c r="R39" s="23"/>
    </row>
    <row r="40" spans="1:18" ht="59.25" customHeight="1" x14ac:dyDescent="0.25">
      <c r="A40" s="12" t="s">
        <v>248</v>
      </c>
      <c r="B40" s="44" t="s">
        <v>249</v>
      </c>
      <c r="C40" s="12" t="s">
        <v>227</v>
      </c>
      <c r="D40" s="34">
        <v>1</v>
      </c>
      <c r="E40" s="35"/>
      <c r="F40" s="35"/>
      <c r="G40" s="35"/>
      <c r="H40" s="36"/>
      <c r="I40" s="12"/>
      <c r="J40" s="12"/>
      <c r="K40" s="35"/>
      <c r="L40" s="35"/>
      <c r="M40" s="35"/>
      <c r="N40" s="36"/>
      <c r="O40" s="36"/>
      <c r="P40" s="12"/>
      <c r="R40" s="23"/>
    </row>
    <row r="41" spans="1:18" ht="59.25" customHeight="1" x14ac:dyDescent="0.25">
      <c r="A41" s="12" t="s">
        <v>250</v>
      </c>
      <c r="B41" s="44" t="s">
        <v>229</v>
      </c>
      <c r="C41" s="12" t="s">
        <v>32</v>
      </c>
      <c r="D41" s="112">
        <v>40</v>
      </c>
      <c r="E41" s="35">
        <f>600000/D41</f>
        <v>15000</v>
      </c>
      <c r="F41" s="35">
        <f>E41*D41</f>
        <v>600000</v>
      </c>
      <c r="G41" s="35">
        <f t="shared" si="16"/>
        <v>82800</v>
      </c>
      <c r="H41" s="36">
        <f t="shared" si="17"/>
        <v>682800</v>
      </c>
      <c r="I41" s="12">
        <v>40</v>
      </c>
      <c r="J41" s="12">
        <f t="shared" si="18"/>
        <v>0</v>
      </c>
      <c r="K41" s="35">
        <f t="shared" si="19"/>
        <v>600000</v>
      </c>
      <c r="L41" s="35">
        <f t="shared" si="20"/>
        <v>82800</v>
      </c>
      <c r="M41" s="35">
        <f t="shared" si="21"/>
        <v>60000</v>
      </c>
      <c r="N41" s="36">
        <f t="shared" si="22"/>
        <v>622800</v>
      </c>
      <c r="O41" s="36">
        <f t="shared" si="23"/>
        <v>0</v>
      </c>
      <c r="P41" s="12"/>
      <c r="R41" s="23"/>
    </row>
    <row r="42" spans="1:18" ht="59.25" customHeight="1" x14ac:dyDescent="0.25">
      <c r="A42" s="12" t="s">
        <v>251</v>
      </c>
      <c r="B42" s="44" t="s">
        <v>239</v>
      </c>
      <c r="C42" s="12" t="s">
        <v>32</v>
      </c>
      <c r="D42" s="112">
        <v>60</v>
      </c>
      <c r="E42" s="35">
        <f>900000/D42</f>
        <v>15000</v>
      </c>
      <c r="F42" s="35">
        <f>E42*D42</f>
        <v>900000</v>
      </c>
      <c r="G42" s="35">
        <f t="shared" si="16"/>
        <v>124200.00000000001</v>
      </c>
      <c r="H42" s="36">
        <f t="shared" si="17"/>
        <v>1024200</v>
      </c>
      <c r="I42" s="12">
        <f>27+33</f>
        <v>60</v>
      </c>
      <c r="J42" s="12">
        <f t="shared" si="18"/>
        <v>0</v>
      </c>
      <c r="K42" s="113">
        <f t="shared" si="19"/>
        <v>900000</v>
      </c>
      <c r="L42" s="35">
        <f t="shared" si="20"/>
        <v>124200.00000000001</v>
      </c>
      <c r="M42" s="35">
        <f t="shared" si="21"/>
        <v>90000</v>
      </c>
      <c r="N42" s="36">
        <f t="shared" si="22"/>
        <v>934200</v>
      </c>
      <c r="O42" s="36">
        <f t="shared" si="23"/>
        <v>0</v>
      </c>
      <c r="P42" s="12"/>
      <c r="R42" s="23"/>
    </row>
    <row r="43" spans="1:18" ht="59.25" customHeight="1" x14ac:dyDescent="0.25">
      <c r="A43" s="12" t="s">
        <v>252</v>
      </c>
      <c r="B43" s="44" t="s">
        <v>253</v>
      </c>
      <c r="C43" s="12" t="s">
        <v>227</v>
      </c>
      <c r="D43" s="34">
        <v>1</v>
      </c>
      <c r="E43" s="35"/>
      <c r="F43" s="35"/>
      <c r="G43" s="35"/>
      <c r="H43" s="36"/>
      <c r="I43" s="12"/>
      <c r="J43" s="12"/>
      <c r="K43" s="35"/>
      <c r="L43" s="35"/>
      <c r="M43" s="35"/>
      <c r="N43" s="36"/>
      <c r="O43" s="36"/>
      <c r="P43" s="12"/>
      <c r="R43" s="23"/>
    </row>
    <row r="44" spans="1:18" ht="59.25" customHeight="1" x14ac:dyDescent="0.25">
      <c r="A44" s="12" t="s">
        <v>254</v>
      </c>
      <c r="B44" s="44" t="s">
        <v>229</v>
      </c>
      <c r="C44" s="12" t="s">
        <v>32</v>
      </c>
      <c r="D44" s="112">
        <v>40</v>
      </c>
      <c r="E44" s="35">
        <f>1200000/D44</f>
        <v>30000</v>
      </c>
      <c r="F44" s="35">
        <f>E44*D44</f>
        <v>1200000</v>
      </c>
      <c r="G44" s="35">
        <f t="shared" si="16"/>
        <v>165600</v>
      </c>
      <c r="H44" s="36">
        <f t="shared" si="17"/>
        <v>1365600</v>
      </c>
      <c r="I44" s="12">
        <v>40</v>
      </c>
      <c r="J44" s="12">
        <f t="shared" si="18"/>
        <v>0</v>
      </c>
      <c r="K44" s="35">
        <f t="shared" si="19"/>
        <v>1200000</v>
      </c>
      <c r="L44" s="35">
        <f t="shared" si="20"/>
        <v>165600</v>
      </c>
      <c r="M44" s="35">
        <f t="shared" si="21"/>
        <v>120000</v>
      </c>
      <c r="N44" s="36">
        <f t="shared" si="22"/>
        <v>1245600</v>
      </c>
      <c r="O44" s="36">
        <f t="shared" si="23"/>
        <v>0</v>
      </c>
      <c r="P44" s="12"/>
      <c r="R44" s="23"/>
    </row>
    <row r="45" spans="1:18" ht="59.25" customHeight="1" x14ac:dyDescent="0.25">
      <c r="A45" s="12" t="s">
        <v>255</v>
      </c>
      <c r="B45" s="44" t="s">
        <v>239</v>
      </c>
      <c r="C45" s="12" t="s">
        <v>32</v>
      </c>
      <c r="D45" s="112">
        <v>60</v>
      </c>
      <c r="E45" s="35">
        <f>1800000/D45</f>
        <v>30000</v>
      </c>
      <c r="F45" s="35">
        <f>E45*D45</f>
        <v>1800000</v>
      </c>
      <c r="G45" s="35">
        <f t="shared" si="16"/>
        <v>248400.00000000003</v>
      </c>
      <c r="H45" s="36">
        <f t="shared" si="17"/>
        <v>2048400</v>
      </c>
      <c r="I45" s="12">
        <v>60</v>
      </c>
      <c r="J45" s="12">
        <f t="shared" si="18"/>
        <v>0</v>
      </c>
      <c r="K45" s="35">
        <f t="shared" si="19"/>
        <v>1800000</v>
      </c>
      <c r="L45" s="35">
        <f t="shared" si="20"/>
        <v>248400.00000000003</v>
      </c>
      <c r="M45" s="35">
        <f t="shared" si="21"/>
        <v>180000</v>
      </c>
      <c r="N45" s="36">
        <f t="shared" si="22"/>
        <v>1868400</v>
      </c>
      <c r="O45" s="36">
        <f t="shared" si="23"/>
        <v>0</v>
      </c>
      <c r="P45" s="12"/>
      <c r="R45" s="23"/>
    </row>
    <row r="46" spans="1:18" ht="59.25" customHeight="1" x14ac:dyDescent="0.25">
      <c r="A46" s="12" t="s">
        <v>256</v>
      </c>
      <c r="B46" s="44" t="s">
        <v>257</v>
      </c>
      <c r="C46" s="12" t="s">
        <v>227</v>
      </c>
      <c r="D46" s="34">
        <v>1</v>
      </c>
      <c r="E46" s="35"/>
      <c r="F46" s="35"/>
      <c r="G46" s="35"/>
      <c r="H46" s="36"/>
      <c r="I46" s="12"/>
      <c r="J46" s="12"/>
      <c r="K46" s="35"/>
      <c r="L46" s="35"/>
      <c r="M46" s="35"/>
      <c r="N46" s="36"/>
      <c r="O46" s="36"/>
      <c r="P46" s="12"/>
      <c r="R46" s="23"/>
    </row>
    <row r="47" spans="1:18" ht="59.25" customHeight="1" x14ac:dyDescent="0.25">
      <c r="A47" s="12" t="s">
        <v>258</v>
      </c>
      <c r="B47" s="44" t="s">
        <v>259</v>
      </c>
      <c r="C47" s="12" t="s">
        <v>32</v>
      </c>
      <c r="D47" s="112">
        <v>40</v>
      </c>
      <c r="E47" s="35">
        <f>2000000/D47</f>
        <v>50000</v>
      </c>
      <c r="F47" s="35">
        <f>E47*D47</f>
        <v>2000000</v>
      </c>
      <c r="G47" s="35">
        <f t="shared" si="16"/>
        <v>276000</v>
      </c>
      <c r="H47" s="36">
        <f t="shared" si="17"/>
        <v>2276000</v>
      </c>
      <c r="I47" s="12">
        <v>40</v>
      </c>
      <c r="J47" s="12">
        <f t="shared" si="18"/>
        <v>0</v>
      </c>
      <c r="K47" s="35">
        <f t="shared" si="19"/>
        <v>2000000</v>
      </c>
      <c r="L47" s="35">
        <f t="shared" si="20"/>
        <v>276000</v>
      </c>
      <c r="M47" s="35">
        <f t="shared" si="21"/>
        <v>200000</v>
      </c>
      <c r="N47" s="36">
        <f t="shared" si="22"/>
        <v>2076000</v>
      </c>
      <c r="O47" s="36">
        <f t="shared" si="23"/>
        <v>0</v>
      </c>
      <c r="P47" s="12"/>
      <c r="R47" s="23"/>
    </row>
    <row r="48" spans="1:18" ht="59.25" customHeight="1" x14ac:dyDescent="0.25">
      <c r="A48" s="12" t="s">
        <v>260</v>
      </c>
      <c r="B48" s="44" t="s">
        <v>229</v>
      </c>
      <c r="C48" s="12" t="s">
        <v>32</v>
      </c>
      <c r="D48" s="112">
        <v>10</v>
      </c>
      <c r="E48" s="35">
        <f>500000/D48</f>
        <v>50000</v>
      </c>
      <c r="F48" s="35">
        <f>E48*D48</f>
        <v>500000</v>
      </c>
      <c r="G48" s="35">
        <f t="shared" si="16"/>
        <v>69000</v>
      </c>
      <c r="H48" s="36">
        <f t="shared" si="17"/>
        <v>569000</v>
      </c>
      <c r="I48" s="12">
        <v>10</v>
      </c>
      <c r="J48" s="12">
        <f t="shared" si="18"/>
        <v>0</v>
      </c>
      <c r="K48" s="35">
        <f t="shared" si="19"/>
        <v>500000</v>
      </c>
      <c r="L48" s="35">
        <f t="shared" si="20"/>
        <v>69000</v>
      </c>
      <c r="M48" s="35">
        <f t="shared" si="21"/>
        <v>50000</v>
      </c>
      <c r="N48" s="36">
        <f t="shared" si="22"/>
        <v>519000</v>
      </c>
      <c r="O48" s="36">
        <f t="shared" si="23"/>
        <v>0</v>
      </c>
      <c r="P48" s="12"/>
      <c r="R48" s="23"/>
    </row>
    <row r="49" spans="1:18" ht="59.25" customHeight="1" x14ac:dyDescent="0.25">
      <c r="A49" s="12" t="s">
        <v>261</v>
      </c>
      <c r="B49" s="44" t="s">
        <v>262</v>
      </c>
      <c r="C49" s="12" t="s">
        <v>32</v>
      </c>
      <c r="D49" s="112">
        <v>40</v>
      </c>
      <c r="E49" s="35">
        <f>2000000/D49</f>
        <v>50000</v>
      </c>
      <c r="F49" s="35">
        <f>E49*D49</f>
        <v>2000000</v>
      </c>
      <c r="G49" s="35">
        <f t="shared" si="16"/>
        <v>276000</v>
      </c>
      <c r="H49" s="36">
        <f t="shared" si="17"/>
        <v>2276000</v>
      </c>
      <c r="I49" s="12">
        <f>20+20</f>
        <v>40</v>
      </c>
      <c r="J49" s="12">
        <f t="shared" si="18"/>
        <v>0</v>
      </c>
      <c r="K49" s="113">
        <f t="shared" si="19"/>
        <v>2000000</v>
      </c>
      <c r="L49" s="35">
        <f t="shared" si="20"/>
        <v>276000</v>
      </c>
      <c r="M49" s="35">
        <f t="shared" si="21"/>
        <v>200000</v>
      </c>
      <c r="N49" s="36">
        <f t="shared" si="22"/>
        <v>2076000</v>
      </c>
      <c r="O49" s="36">
        <f t="shared" si="23"/>
        <v>0</v>
      </c>
      <c r="P49" s="12"/>
      <c r="R49" s="23"/>
    </row>
    <row r="50" spans="1:18" ht="59.25" customHeight="1" x14ac:dyDescent="0.25">
      <c r="A50" s="12" t="s">
        <v>263</v>
      </c>
      <c r="B50" s="44" t="s">
        <v>264</v>
      </c>
      <c r="C50" s="12" t="s">
        <v>32</v>
      </c>
      <c r="D50" s="112">
        <v>10</v>
      </c>
      <c r="E50" s="35">
        <f>500000/D50</f>
        <v>50000</v>
      </c>
      <c r="F50" s="35">
        <f>E50*D50</f>
        <v>500000</v>
      </c>
      <c r="G50" s="35">
        <f t="shared" si="16"/>
        <v>69000</v>
      </c>
      <c r="H50" s="36">
        <f t="shared" si="17"/>
        <v>569000</v>
      </c>
      <c r="I50" s="12">
        <v>10</v>
      </c>
      <c r="J50" s="12">
        <f t="shared" si="18"/>
        <v>0</v>
      </c>
      <c r="K50" s="35">
        <f t="shared" si="19"/>
        <v>500000</v>
      </c>
      <c r="L50" s="35">
        <f t="shared" si="20"/>
        <v>69000</v>
      </c>
      <c r="M50" s="35">
        <f t="shared" si="21"/>
        <v>50000</v>
      </c>
      <c r="N50" s="36">
        <f t="shared" si="22"/>
        <v>519000</v>
      </c>
      <c r="O50" s="36">
        <f t="shared" si="23"/>
        <v>0</v>
      </c>
      <c r="P50" s="12"/>
      <c r="R50" s="23"/>
    </row>
    <row r="51" spans="1:18" ht="59.25" customHeight="1" x14ac:dyDescent="0.25">
      <c r="A51" s="12" t="s">
        <v>265</v>
      </c>
      <c r="B51" s="44" t="s">
        <v>266</v>
      </c>
      <c r="C51" s="12" t="s">
        <v>227</v>
      </c>
      <c r="D51" s="34">
        <v>1</v>
      </c>
      <c r="E51" s="35"/>
      <c r="F51" s="35"/>
      <c r="G51" s="35"/>
      <c r="H51" s="36"/>
      <c r="I51" s="12"/>
      <c r="J51" s="12"/>
      <c r="K51" s="35"/>
      <c r="L51" s="35"/>
      <c r="M51" s="35"/>
      <c r="N51" s="36"/>
      <c r="O51" s="36"/>
      <c r="P51" s="12"/>
      <c r="R51" s="23"/>
    </row>
    <row r="52" spans="1:18" ht="59.25" customHeight="1" x14ac:dyDescent="0.25">
      <c r="A52" s="12" t="s">
        <v>267</v>
      </c>
      <c r="B52" s="44" t="s">
        <v>229</v>
      </c>
      <c r="C52" s="12" t="s">
        <v>32</v>
      </c>
      <c r="D52" s="112">
        <v>15</v>
      </c>
      <c r="E52" s="35">
        <f>4350000/D52</f>
        <v>290000</v>
      </c>
      <c r="F52" s="35">
        <f>E52*D52</f>
        <v>4350000</v>
      </c>
      <c r="G52" s="35">
        <f t="shared" si="16"/>
        <v>600300</v>
      </c>
      <c r="H52" s="36">
        <f t="shared" si="17"/>
        <v>4950300</v>
      </c>
      <c r="I52" s="12">
        <f>6+5</f>
        <v>11</v>
      </c>
      <c r="J52" s="12">
        <f t="shared" si="18"/>
        <v>4</v>
      </c>
      <c r="K52" s="35">
        <f t="shared" si="19"/>
        <v>3190000</v>
      </c>
      <c r="L52" s="35">
        <f t="shared" si="20"/>
        <v>440220.00000000006</v>
      </c>
      <c r="M52" s="35">
        <f t="shared" si="21"/>
        <v>319000</v>
      </c>
      <c r="N52" s="36">
        <f t="shared" si="22"/>
        <v>3311220</v>
      </c>
      <c r="O52" s="36">
        <f t="shared" si="23"/>
        <v>1160000</v>
      </c>
      <c r="P52" s="12"/>
      <c r="R52" s="23"/>
    </row>
    <row r="53" spans="1:18" ht="59.25" customHeight="1" x14ac:dyDescent="0.25">
      <c r="A53" s="12" t="s">
        <v>268</v>
      </c>
      <c r="B53" s="44" t="s">
        <v>269</v>
      </c>
      <c r="C53" s="12" t="s">
        <v>32</v>
      </c>
      <c r="D53" s="112">
        <v>30</v>
      </c>
      <c r="E53" s="35">
        <f>8700000/D53</f>
        <v>290000</v>
      </c>
      <c r="F53" s="35">
        <f>E53*D53</f>
        <v>8700000</v>
      </c>
      <c r="G53" s="35">
        <f t="shared" si="16"/>
        <v>1200600</v>
      </c>
      <c r="H53" s="36">
        <f t="shared" si="17"/>
        <v>9900600</v>
      </c>
      <c r="I53" s="12"/>
      <c r="J53" s="12">
        <f t="shared" si="18"/>
        <v>30</v>
      </c>
      <c r="K53" s="35">
        <f t="shared" si="19"/>
        <v>0</v>
      </c>
      <c r="L53" s="35">
        <f t="shared" si="20"/>
        <v>0</v>
      </c>
      <c r="M53" s="35">
        <f t="shared" si="21"/>
        <v>0</v>
      </c>
      <c r="N53" s="36">
        <f t="shared" si="22"/>
        <v>0</v>
      </c>
      <c r="O53" s="36">
        <f t="shared" si="23"/>
        <v>8700000</v>
      </c>
      <c r="P53" s="12"/>
      <c r="R53" s="23"/>
    </row>
    <row r="54" spans="1:18" ht="59.25" customHeight="1" x14ac:dyDescent="0.25">
      <c r="A54" s="12" t="s">
        <v>270</v>
      </c>
      <c r="B54" s="44" t="s">
        <v>271</v>
      </c>
      <c r="C54" s="12" t="s">
        <v>32</v>
      </c>
      <c r="D54" s="112">
        <v>15</v>
      </c>
      <c r="E54" s="35">
        <f>4350000/D54</f>
        <v>290000</v>
      </c>
      <c r="F54" s="35">
        <f t="shared" ref="F54:F56" si="24">E54*D54</f>
        <v>4350000</v>
      </c>
      <c r="G54" s="35">
        <f t="shared" si="16"/>
        <v>600300</v>
      </c>
      <c r="H54" s="36">
        <f t="shared" si="17"/>
        <v>4950300</v>
      </c>
      <c r="I54" s="12"/>
      <c r="J54" s="12">
        <f t="shared" si="18"/>
        <v>15</v>
      </c>
      <c r="K54" s="35">
        <f t="shared" si="19"/>
        <v>0</v>
      </c>
      <c r="L54" s="35">
        <f t="shared" si="20"/>
        <v>0</v>
      </c>
      <c r="M54" s="35">
        <f t="shared" si="21"/>
        <v>0</v>
      </c>
      <c r="N54" s="36">
        <f t="shared" si="22"/>
        <v>0</v>
      </c>
      <c r="O54" s="36">
        <f t="shared" si="23"/>
        <v>4350000</v>
      </c>
      <c r="P54" s="12"/>
      <c r="R54" s="23"/>
    </row>
    <row r="55" spans="1:18" ht="59.25" customHeight="1" x14ac:dyDescent="0.25">
      <c r="A55" s="12" t="s">
        <v>272</v>
      </c>
      <c r="B55" s="44" t="s">
        <v>273</v>
      </c>
      <c r="C55" s="12" t="s">
        <v>32</v>
      </c>
      <c r="D55" s="112">
        <v>20</v>
      </c>
      <c r="E55" s="35">
        <f>5800000/D55</f>
        <v>290000</v>
      </c>
      <c r="F55" s="35">
        <f t="shared" si="24"/>
        <v>5800000</v>
      </c>
      <c r="G55" s="35">
        <f t="shared" si="16"/>
        <v>800400.00000000012</v>
      </c>
      <c r="H55" s="36">
        <f t="shared" si="17"/>
        <v>6600400</v>
      </c>
      <c r="I55" s="12"/>
      <c r="J55" s="12">
        <f t="shared" si="18"/>
        <v>20</v>
      </c>
      <c r="K55" s="35">
        <f t="shared" si="19"/>
        <v>0</v>
      </c>
      <c r="L55" s="35">
        <f t="shared" si="20"/>
        <v>0</v>
      </c>
      <c r="M55" s="35">
        <f t="shared" si="21"/>
        <v>0</v>
      </c>
      <c r="N55" s="36">
        <f t="shared" si="22"/>
        <v>0</v>
      </c>
      <c r="O55" s="36">
        <f t="shared" si="23"/>
        <v>5800000</v>
      </c>
      <c r="P55" s="12"/>
      <c r="R55" s="23"/>
    </row>
    <row r="56" spans="1:18" ht="59.25" customHeight="1" x14ac:dyDescent="0.25">
      <c r="A56" s="12" t="s">
        <v>274</v>
      </c>
      <c r="B56" s="44" t="s">
        <v>275</v>
      </c>
      <c r="C56" s="12" t="s">
        <v>32</v>
      </c>
      <c r="D56" s="112">
        <v>20</v>
      </c>
      <c r="E56" s="35">
        <f>5800000/D56</f>
        <v>290000</v>
      </c>
      <c r="F56" s="35">
        <f t="shared" si="24"/>
        <v>5800000</v>
      </c>
      <c r="G56" s="35">
        <f t="shared" si="16"/>
        <v>800400.00000000012</v>
      </c>
      <c r="H56" s="36">
        <f t="shared" si="17"/>
        <v>6600400</v>
      </c>
      <c r="I56" s="12"/>
      <c r="J56" s="12">
        <f t="shared" si="18"/>
        <v>20</v>
      </c>
      <c r="K56" s="35">
        <f t="shared" si="19"/>
        <v>0</v>
      </c>
      <c r="L56" s="35">
        <f t="shared" si="20"/>
        <v>0</v>
      </c>
      <c r="M56" s="35">
        <f t="shared" si="21"/>
        <v>0</v>
      </c>
      <c r="N56" s="36">
        <f t="shared" si="22"/>
        <v>0</v>
      </c>
      <c r="O56" s="36">
        <f t="shared" si="23"/>
        <v>5800000</v>
      </c>
      <c r="P56" s="12"/>
      <c r="R56" s="23"/>
    </row>
    <row r="57" spans="1:18" ht="59.25" customHeight="1" x14ac:dyDescent="0.25">
      <c r="A57" s="12" t="s">
        <v>276</v>
      </c>
      <c r="B57" s="44" t="s">
        <v>277</v>
      </c>
      <c r="C57" s="12" t="s">
        <v>278</v>
      </c>
      <c r="D57" s="34">
        <v>26</v>
      </c>
      <c r="E57" s="35"/>
      <c r="F57" s="35"/>
      <c r="G57" s="35"/>
      <c r="H57" s="36"/>
      <c r="I57" s="12"/>
      <c r="J57" s="12"/>
      <c r="K57" s="35"/>
      <c r="L57" s="35"/>
      <c r="M57" s="35"/>
      <c r="N57" s="36"/>
      <c r="O57" s="36"/>
      <c r="P57" s="12"/>
      <c r="R57" s="23"/>
    </row>
    <row r="58" spans="1:18" ht="59.25" customHeight="1" x14ac:dyDescent="0.25">
      <c r="A58" s="12" t="s">
        <v>279</v>
      </c>
      <c r="B58" s="44" t="s">
        <v>280</v>
      </c>
      <c r="C58" s="12" t="s">
        <v>32</v>
      </c>
      <c r="D58" s="112">
        <v>15</v>
      </c>
      <c r="E58" s="35">
        <f>1200000/D58</f>
        <v>80000</v>
      </c>
      <c r="F58" s="35">
        <f t="shared" ref="F58:F62" si="25">E58*D58</f>
        <v>1200000</v>
      </c>
      <c r="G58" s="35">
        <f t="shared" si="16"/>
        <v>165600</v>
      </c>
      <c r="H58" s="36">
        <f t="shared" si="17"/>
        <v>1365600</v>
      </c>
      <c r="I58" s="12"/>
      <c r="J58" s="12">
        <f t="shared" si="18"/>
        <v>15</v>
      </c>
      <c r="K58" s="35">
        <f t="shared" si="19"/>
        <v>0</v>
      </c>
      <c r="L58" s="35">
        <f t="shared" si="20"/>
        <v>0</v>
      </c>
      <c r="M58" s="35">
        <f t="shared" si="21"/>
        <v>0</v>
      </c>
      <c r="N58" s="36">
        <f t="shared" si="22"/>
        <v>0</v>
      </c>
      <c r="O58" s="36">
        <f t="shared" si="23"/>
        <v>1200000</v>
      </c>
      <c r="P58" s="12"/>
      <c r="R58" s="23"/>
    </row>
    <row r="59" spans="1:18" ht="59.25" customHeight="1" x14ac:dyDescent="0.25">
      <c r="A59" s="12" t="s">
        <v>281</v>
      </c>
      <c r="B59" s="44" t="s">
        <v>282</v>
      </c>
      <c r="C59" s="12" t="s">
        <v>32</v>
      </c>
      <c r="D59" s="112">
        <v>25</v>
      </c>
      <c r="E59" s="35">
        <f>2000000/D59</f>
        <v>80000</v>
      </c>
      <c r="F59" s="35">
        <f t="shared" si="25"/>
        <v>2000000</v>
      </c>
      <c r="G59" s="35">
        <f t="shared" si="16"/>
        <v>276000</v>
      </c>
      <c r="H59" s="36">
        <f t="shared" si="17"/>
        <v>2276000</v>
      </c>
      <c r="I59" s="12"/>
      <c r="J59" s="12">
        <f t="shared" si="18"/>
        <v>25</v>
      </c>
      <c r="K59" s="35">
        <f t="shared" si="19"/>
        <v>0</v>
      </c>
      <c r="L59" s="35">
        <f t="shared" si="20"/>
        <v>0</v>
      </c>
      <c r="M59" s="35">
        <f t="shared" si="21"/>
        <v>0</v>
      </c>
      <c r="N59" s="36">
        <f t="shared" si="22"/>
        <v>0</v>
      </c>
      <c r="O59" s="36">
        <f t="shared" si="23"/>
        <v>2000000</v>
      </c>
      <c r="P59" s="12"/>
      <c r="R59" s="23"/>
    </row>
    <row r="60" spans="1:18" ht="59.25" customHeight="1" x14ac:dyDescent="0.25">
      <c r="A60" s="12" t="s">
        <v>283</v>
      </c>
      <c r="B60" s="44" t="s">
        <v>284</v>
      </c>
      <c r="C60" s="12" t="s">
        <v>32</v>
      </c>
      <c r="D60" s="112">
        <v>25</v>
      </c>
      <c r="E60" s="35">
        <f>2000000/D60</f>
        <v>80000</v>
      </c>
      <c r="F60" s="35">
        <f t="shared" si="25"/>
        <v>2000000</v>
      </c>
      <c r="G60" s="35">
        <f t="shared" si="16"/>
        <v>276000</v>
      </c>
      <c r="H60" s="36">
        <f t="shared" si="17"/>
        <v>2276000</v>
      </c>
      <c r="I60" s="12"/>
      <c r="J60" s="12">
        <f t="shared" si="18"/>
        <v>25</v>
      </c>
      <c r="K60" s="35">
        <f t="shared" si="19"/>
        <v>0</v>
      </c>
      <c r="L60" s="35">
        <f t="shared" si="20"/>
        <v>0</v>
      </c>
      <c r="M60" s="35">
        <f t="shared" si="21"/>
        <v>0</v>
      </c>
      <c r="N60" s="36">
        <f t="shared" si="22"/>
        <v>0</v>
      </c>
      <c r="O60" s="36">
        <f t="shared" si="23"/>
        <v>2000000</v>
      </c>
      <c r="P60" s="12"/>
      <c r="R60" s="23"/>
    </row>
    <row r="61" spans="1:18" ht="59.25" customHeight="1" x14ac:dyDescent="0.25">
      <c r="A61" s="12" t="s">
        <v>285</v>
      </c>
      <c r="B61" s="44" t="s">
        <v>233</v>
      </c>
      <c r="C61" s="12" t="s">
        <v>32</v>
      </c>
      <c r="D61" s="112">
        <v>25</v>
      </c>
      <c r="E61" s="35">
        <f>2000000/D61</f>
        <v>80000</v>
      </c>
      <c r="F61" s="35">
        <f t="shared" si="25"/>
        <v>2000000</v>
      </c>
      <c r="G61" s="35">
        <f t="shared" si="16"/>
        <v>276000</v>
      </c>
      <c r="H61" s="36">
        <f t="shared" si="17"/>
        <v>2276000</v>
      </c>
      <c r="I61" s="12"/>
      <c r="J61" s="12">
        <f t="shared" si="18"/>
        <v>25</v>
      </c>
      <c r="K61" s="35">
        <f t="shared" si="19"/>
        <v>0</v>
      </c>
      <c r="L61" s="35">
        <f t="shared" si="20"/>
        <v>0</v>
      </c>
      <c r="M61" s="35">
        <f t="shared" si="21"/>
        <v>0</v>
      </c>
      <c r="N61" s="36">
        <f t="shared" si="22"/>
        <v>0</v>
      </c>
      <c r="O61" s="36">
        <f t="shared" si="23"/>
        <v>2000000</v>
      </c>
      <c r="P61" s="12"/>
      <c r="R61" s="23"/>
    </row>
    <row r="62" spans="1:18" ht="59.25" customHeight="1" x14ac:dyDescent="0.25">
      <c r="A62" s="12" t="s">
        <v>286</v>
      </c>
      <c r="B62" s="44" t="s">
        <v>287</v>
      </c>
      <c r="C62" s="12" t="s">
        <v>32</v>
      </c>
      <c r="D62" s="112">
        <v>10</v>
      </c>
      <c r="E62" s="35">
        <f>800000/D62</f>
        <v>80000</v>
      </c>
      <c r="F62" s="35">
        <f t="shared" si="25"/>
        <v>800000</v>
      </c>
      <c r="G62" s="35">
        <f t="shared" si="16"/>
        <v>110400.00000000001</v>
      </c>
      <c r="H62" s="36">
        <f t="shared" si="17"/>
        <v>910400</v>
      </c>
      <c r="I62" s="12"/>
      <c r="J62" s="12">
        <f t="shared" si="18"/>
        <v>10</v>
      </c>
      <c r="K62" s="35">
        <f t="shared" si="19"/>
        <v>0</v>
      </c>
      <c r="L62" s="35">
        <f t="shared" si="20"/>
        <v>0</v>
      </c>
      <c r="M62" s="35">
        <f t="shared" si="21"/>
        <v>0</v>
      </c>
      <c r="N62" s="36">
        <f t="shared" si="22"/>
        <v>0</v>
      </c>
      <c r="O62" s="36">
        <f t="shared" si="23"/>
        <v>800000</v>
      </c>
      <c r="P62" s="12"/>
      <c r="R62" s="23"/>
    </row>
    <row r="63" spans="1:18" ht="71.25" customHeight="1" x14ac:dyDescent="0.25">
      <c r="A63" s="104" t="s">
        <v>288</v>
      </c>
      <c r="B63" s="111" t="s">
        <v>289</v>
      </c>
      <c r="C63" s="41" t="s">
        <v>224</v>
      </c>
      <c r="D63" s="41">
        <v>1</v>
      </c>
      <c r="E63" s="41"/>
      <c r="F63" s="42"/>
      <c r="G63" s="35"/>
      <c r="H63" s="36"/>
      <c r="I63" s="12"/>
      <c r="J63" s="12"/>
      <c r="K63" s="35"/>
      <c r="L63" s="35"/>
      <c r="M63" s="35"/>
      <c r="N63" s="36"/>
      <c r="O63" s="36"/>
      <c r="P63" s="12"/>
      <c r="R63" s="23"/>
    </row>
    <row r="64" spans="1:18" ht="71.25" customHeight="1" x14ac:dyDescent="0.25">
      <c r="A64" s="12" t="s">
        <v>290</v>
      </c>
      <c r="B64" s="44" t="s">
        <v>291</v>
      </c>
      <c r="C64" s="12" t="s">
        <v>214</v>
      </c>
      <c r="D64" s="34">
        <v>34</v>
      </c>
      <c r="E64" s="35"/>
      <c r="F64" s="35"/>
      <c r="G64" s="35"/>
      <c r="H64" s="36"/>
      <c r="I64" s="12"/>
      <c r="J64" s="12"/>
      <c r="K64" s="35"/>
      <c r="L64" s="35">
        <f t="shared" ref="L64:L165" si="26">K64*13.8%</f>
        <v>0</v>
      </c>
      <c r="M64" s="35"/>
      <c r="N64" s="36"/>
      <c r="O64" s="36"/>
      <c r="P64" s="12"/>
      <c r="R64" s="23"/>
    </row>
    <row r="65" spans="1:18" ht="71.25" customHeight="1" x14ac:dyDescent="0.25">
      <c r="A65" s="12" t="s">
        <v>292</v>
      </c>
      <c r="B65" s="44" t="s">
        <v>293</v>
      </c>
      <c r="C65" s="12" t="s">
        <v>32</v>
      </c>
      <c r="D65" s="34">
        <v>20</v>
      </c>
      <c r="E65" s="35">
        <f>680000/D65</f>
        <v>34000</v>
      </c>
      <c r="F65" s="35">
        <f>D65*E65</f>
        <v>680000</v>
      </c>
      <c r="G65" s="35">
        <f t="shared" si="0"/>
        <v>93840.000000000015</v>
      </c>
      <c r="H65" s="36">
        <f t="shared" si="1"/>
        <v>773840</v>
      </c>
      <c r="I65" s="12">
        <f>6+12+2</f>
        <v>20</v>
      </c>
      <c r="J65" s="12">
        <f t="shared" ref="J65:J67" si="27">D65-I65</f>
        <v>0</v>
      </c>
      <c r="K65" s="35">
        <f t="shared" ref="K65:K67" si="28">I65*E65</f>
        <v>680000</v>
      </c>
      <c r="L65" s="35">
        <f t="shared" si="26"/>
        <v>93840.000000000015</v>
      </c>
      <c r="M65" s="35">
        <f t="shared" ref="M65:M67" si="29">K65*10%</f>
        <v>68000</v>
      </c>
      <c r="N65" s="36">
        <f t="shared" ref="N65" si="30">SUM(K65:L65)-M65</f>
        <v>705840</v>
      </c>
      <c r="O65" s="36">
        <f t="shared" ref="O65:O67" si="31">J65*E65</f>
        <v>0</v>
      </c>
      <c r="P65" s="12"/>
      <c r="R65" s="23"/>
    </row>
    <row r="66" spans="1:18" ht="71.25" customHeight="1" x14ac:dyDescent="0.25">
      <c r="A66" s="12" t="s">
        <v>294</v>
      </c>
      <c r="B66" s="44" t="s">
        <v>295</v>
      </c>
      <c r="C66" s="12" t="s">
        <v>32</v>
      </c>
      <c r="D66" s="34">
        <v>40</v>
      </c>
      <c r="E66" s="35">
        <f>1360000/D66</f>
        <v>34000</v>
      </c>
      <c r="F66" s="35">
        <f t="shared" ref="F66:F96" si="32">D66*E66</f>
        <v>1360000</v>
      </c>
      <c r="G66" s="35">
        <f t="shared" si="0"/>
        <v>187680.00000000003</v>
      </c>
      <c r="H66" s="36">
        <f t="shared" si="1"/>
        <v>1547680</v>
      </c>
      <c r="I66" s="12">
        <f>12+22+6</f>
        <v>40</v>
      </c>
      <c r="J66" s="12">
        <f t="shared" si="27"/>
        <v>0</v>
      </c>
      <c r="K66" s="35">
        <f t="shared" si="28"/>
        <v>1360000</v>
      </c>
      <c r="L66" s="35">
        <f t="shared" si="26"/>
        <v>187680.00000000003</v>
      </c>
      <c r="M66" s="35">
        <f t="shared" si="29"/>
        <v>136000</v>
      </c>
      <c r="N66" s="36">
        <f t="shared" ref="N66:N67" si="33">SUM(K66:L66)-M66</f>
        <v>1411680</v>
      </c>
      <c r="O66" s="36">
        <f t="shared" si="31"/>
        <v>0</v>
      </c>
      <c r="P66" s="12"/>
      <c r="R66" s="23"/>
    </row>
    <row r="67" spans="1:18" ht="71.25" customHeight="1" x14ac:dyDescent="0.25">
      <c r="A67" s="12" t="s">
        <v>296</v>
      </c>
      <c r="B67" s="44" t="s">
        <v>287</v>
      </c>
      <c r="C67" s="12" t="s">
        <v>32</v>
      </c>
      <c r="D67" s="34">
        <v>40</v>
      </c>
      <c r="E67" s="35">
        <f>1360000/D67</f>
        <v>34000</v>
      </c>
      <c r="F67" s="35">
        <f t="shared" si="32"/>
        <v>1360000</v>
      </c>
      <c r="G67" s="35">
        <f t="shared" si="0"/>
        <v>187680.00000000003</v>
      </c>
      <c r="H67" s="36">
        <f t="shared" si="1"/>
        <v>1547680</v>
      </c>
      <c r="I67" s="12">
        <f>12+22+6</f>
        <v>40</v>
      </c>
      <c r="J67" s="12">
        <f t="shared" si="27"/>
        <v>0</v>
      </c>
      <c r="K67" s="35">
        <f t="shared" si="28"/>
        <v>1360000</v>
      </c>
      <c r="L67" s="35">
        <f t="shared" si="26"/>
        <v>187680.00000000003</v>
      </c>
      <c r="M67" s="35">
        <f t="shared" si="29"/>
        <v>136000</v>
      </c>
      <c r="N67" s="36">
        <f t="shared" si="33"/>
        <v>1411680</v>
      </c>
      <c r="O67" s="36">
        <f t="shared" si="31"/>
        <v>0</v>
      </c>
      <c r="P67" s="12"/>
      <c r="R67" s="23"/>
    </row>
    <row r="68" spans="1:18" ht="71.25" customHeight="1" x14ac:dyDescent="0.25">
      <c r="A68" s="12" t="s">
        <v>297</v>
      </c>
      <c r="B68" s="44" t="s">
        <v>298</v>
      </c>
      <c r="C68" s="12" t="s">
        <v>227</v>
      </c>
      <c r="D68" s="34">
        <v>3</v>
      </c>
      <c r="E68" s="35"/>
      <c r="F68" s="35"/>
      <c r="G68" s="35"/>
      <c r="H68" s="36"/>
      <c r="I68" s="12"/>
      <c r="J68" s="12"/>
      <c r="K68" s="35"/>
      <c r="L68" s="35"/>
      <c r="M68" s="35"/>
      <c r="N68" s="36"/>
      <c r="O68" s="36"/>
      <c r="P68" s="12"/>
      <c r="R68" s="23"/>
    </row>
    <row r="69" spans="1:18" ht="71.25" customHeight="1" x14ac:dyDescent="0.25">
      <c r="A69" s="12" t="s">
        <v>299</v>
      </c>
      <c r="B69" s="44" t="s">
        <v>293</v>
      </c>
      <c r="C69" s="12" t="s">
        <v>32</v>
      </c>
      <c r="D69" s="34">
        <v>20</v>
      </c>
      <c r="E69" s="35">
        <f>1400000/D69</f>
        <v>70000</v>
      </c>
      <c r="F69" s="35">
        <f t="shared" si="32"/>
        <v>1400000</v>
      </c>
      <c r="G69" s="35">
        <f t="shared" si="0"/>
        <v>193200.00000000003</v>
      </c>
      <c r="H69" s="36">
        <f t="shared" ref="H69:H71" si="34">F69+G69</f>
        <v>1593200</v>
      </c>
      <c r="I69" s="12">
        <f>6+4+4</f>
        <v>14</v>
      </c>
      <c r="J69" s="12">
        <f t="shared" ref="J69:J71" si="35">D69-I69</f>
        <v>6</v>
      </c>
      <c r="K69" s="35">
        <f t="shared" ref="K69:K71" si="36">I69*E69</f>
        <v>980000</v>
      </c>
      <c r="L69" s="35">
        <f t="shared" si="26"/>
        <v>135240</v>
      </c>
      <c r="M69" s="35">
        <f t="shared" ref="M69:M71" si="37">K69*10%</f>
        <v>98000</v>
      </c>
      <c r="N69" s="36">
        <f t="shared" ref="N69:N71" si="38">SUM(K69:L69)-M69</f>
        <v>1017240</v>
      </c>
      <c r="O69" s="36">
        <f t="shared" ref="O69:O71" si="39">J69*E69</f>
        <v>420000</v>
      </c>
      <c r="P69" s="12"/>
      <c r="R69" s="23"/>
    </row>
    <row r="70" spans="1:18" ht="71.25" customHeight="1" x14ac:dyDescent="0.25">
      <c r="A70" s="12" t="s">
        <v>300</v>
      </c>
      <c r="B70" s="44" t="s">
        <v>231</v>
      </c>
      <c r="C70" s="12" t="s">
        <v>32</v>
      </c>
      <c r="D70" s="34">
        <v>40</v>
      </c>
      <c r="E70" s="35">
        <f>2800000/D70</f>
        <v>70000</v>
      </c>
      <c r="F70" s="35">
        <f t="shared" si="32"/>
        <v>2800000</v>
      </c>
      <c r="G70" s="35">
        <f t="shared" si="0"/>
        <v>386400.00000000006</v>
      </c>
      <c r="H70" s="36">
        <f t="shared" si="34"/>
        <v>3186400</v>
      </c>
      <c r="I70" s="12">
        <f>7+6+13</f>
        <v>26</v>
      </c>
      <c r="J70" s="12">
        <f t="shared" si="35"/>
        <v>14</v>
      </c>
      <c r="K70" s="35">
        <f t="shared" si="36"/>
        <v>1820000</v>
      </c>
      <c r="L70" s="35">
        <f t="shared" si="26"/>
        <v>251160.00000000003</v>
      </c>
      <c r="M70" s="35">
        <f t="shared" si="37"/>
        <v>182000</v>
      </c>
      <c r="N70" s="36">
        <f t="shared" si="38"/>
        <v>1889160</v>
      </c>
      <c r="O70" s="36">
        <f t="shared" si="39"/>
        <v>980000</v>
      </c>
      <c r="P70" s="12"/>
      <c r="R70" s="23"/>
    </row>
    <row r="71" spans="1:18" ht="71.25" customHeight="1" x14ac:dyDescent="0.25">
      <c r="A71" s="12" t="s">
        <v>301</v>
      </c>
      <c r="B71" s="44" t="s">
        <v>233</v>
      </c>
      <c r="C71" s="12" t="s">
        <v>32</v>
      </c>
      <c r="D71" s="34">
        <v>40</v>
      </c>
      <c r="E71" s="35">
        <f>2800000/40</f>
        <v>70000</v>
      </c>
      <c r="F71" s="35">
        <f t="shared" si="32"/>
        <v>2800000</v>
      </c>
      <c r="G71" s="35">
        <f t="shared" si="0"/>
        <v>386400.00000000006</v>
      </c>
      <c r="H71" s="36">
        <f t="shared" si="34"/>
        <v>3186400</v>
      </c>
      <c r="I71" s="12">
        <f>6+7+5</f>
        <v>18</v>
      </c>
      <c r="J71" s="12">
        <f t="shared" si="35"/>
        <v>22</v>
      </c>
      <c r="K71" s="35">
        <f t="shared" si="36"/>
        <v>1260000</v>
      </c>
      <c r="L71" s="35">
        <f t="shared" si="26"/>
        <v>173880</v>
      </c>
      <c r="M71" s="35">
        <f t="shared" si="37"/>
        <v>126000</v>
      </c>
      <c r="N71" s="36">
        <f t="shared" si="38"/>
        <v>1307880</v>
      </c>
      <c r="O71" s="36">
        <f t="shared" si="39"/>
        <v>1540000</v>
      </c>
      <c r="P71" s="12"/>
      <c r="R71" s="23"/>
    </row>
    <row r="72" spans="1:18" ht="71.25" customHeight="1" x14ac:dyDescent="0.25">
      <c r="A72" s="12" t="s">
        <v>302</v>
      </c>
      <c r="B72" s="44" t="s">
        <v>303</v>
      </c>
      <c r="C72" s="12" t="s">
        <v>227</v>
      </c>
      <c r="D72" s="34">
        <v>3</v>
      </c>
      <c r="E72" s="35"/>
      <c r="F72" s="35"/>
      <c r="G72" s="35"/>
      <c r="H72" s="36"/>
      <c r="I72" s="12"/>
      <c r="J72" s="12"/>
      <c r="K72" s="35"/>
      <c r="L72" s="35"/>
      <c r="M72" s="35"/>
      <c r="N72" s="36"/>
      <c r="O72" s="36"/>
      <c r="P72" s="12"/>
      <c r="R72" s="23"/>
    </row>
    <row r="73" spans="1:18" ht="71.25" customHeight="1" x14ac:dyDescent="0.25">
      <c r="A73" s="12" t="s">
        <v>304</v>
      </c>
      <c r="B73" s="44" t="s">
        <v>293</v>
      </c>
      <c r="C73" s="12" t="s">
        <v>32</v>
      </c>
      <c r="D73" s="34">
        <v>20</v>
      </c>
      <c r="E73" s="35">
        <f>700000/D73</f>
        <v>35000</v>
      </c>
      <c r="F73" s="35">
        <f t="shared" si="32"/>
        <v>700000</v>
      </c>
      <c r="G73" s="35">
        <f t="shared" si="0"/>
        <v>96600.000000000015</v>
      </c>
      <c r="H73" s="36">
        <f t="shared" ref="H73:H75" si="40">F73+G73</f>
        <v>796600</v>
      </c>
      <c r="I73" s="12">
        <f>6+7+7</f>
        <v>20</v>
      </c>
      <c r="J73" s="12">
        <f t="shared" ref="J73:J75" si="41">D73-I73</f>
        <v>0</v>
      </c>
      <c r="K73" s="35">
        <f t="shared" ref="K73:K75" si="42">I73*E73</f>
        <v>700000</v>
      </c>
      <c r="L73" s="35">
        <f t="shared" si="26"/>
        <v>96600.000000000015</v>
      </c>
      <c r="M73" s="35">
        <f t="shared" ref="M73:M75" si="43">K73*10%</f>
        <v>70000</v>
      </c>
      <c r="N73" s="36">
        <f t="shared" ref="N73:N75" si="44">SUM(K73:L73)-M73</f>
        <v>726600</v>
      </c>
      <c r="O73" s="36">
        <f t="shared" ref="O73:O75" si="45">J73*E73</f>
        <v>0</v>
      </c>
      <c r="P73" s="12"/>
      <c r="R73" s="23"/>
    </row>
    <row r="74" spans="1:18" ht="71.25" customHeight="1" x14ac:dyDescent="0.25">
      <c r="A74" s="12" t="s">
        <v>305</v>
      </c>
      <c r="B74" s="44" t="s">
        <v>231</v>
      </c>
      <c r="C74" s="12" t="s">
        <v>32</v>
      </c>
      <c r="D74" s="34">
        <v>40</v>
      </c>
      <c r="E74" s="35">
        <f>1400000/D74</f>
        <v>35000</v>
      </c>
      <c r="F74" s="35">
        <f t="shared" si="32"/>
        <v>1400000</v>
      </c>
      <c r="G74" s="35">
        <f t="shared" si="0"/>
        <v>193200.00000000003</v>
      </c>
      <c r="H74" s="36">
        <f t="shared" si="40"/>
        <v>1593200</v>
      </c>
      <c r="I74" s="12">
        <f>13+13+10</f>
        <v>36</v>
      </c>
      <c r="J74" s="12">
        <f t="shared" si="41"/>
        <v>4</v>
      </c>
      <c r="K74" s="35">
        <f t="shared" si="42"/>
        <v>1260000</v>
      </c>
      <c r="L74" s="35">
        <f t="shared" si="26"/>
        <v>173880</v>
      </c>
      <c r="M74" s="35">
        <f t="shared" si="43"/>
        <v>126000</v>
      </c>
      <c r="N74" s="36">
        <f t="shared" si="44"/>
        <v>1307880</v>
      </c>
      <c r="O74" s="36">
        <f t="shared" si="45"/>
        <v>140000</v>
      </c>
      <c r="P74" s="12"/>
      <c r="R74" s="23"/>
    </row>
    <row r="75" spans="1:18" ht="71.25" customHeight="1" x14ac:dyDescent="0.25">
      <c r="A75" s="12" t="s">
        <v>306</v>
      </c>
      <c r="B75" s="44" t="s">
        <v>233</v>
      </c>
      <c r="C75" s="12" t="s">
        <v>32</v>
      </c>
      <c r="D75" s="34">
        <v>40</v>
      </c>
      <c r="E75" s="35">
        <f>1400000/D75</f>
        <v>35000</v>
      </c>
      <c r="F75" s="35">
        <f t="shared" si="32"/>
        <v>1400000</v>
      </c>
      <c r="G75" s="35">
        <f t="shared" si="0"/>
        <v>193200.00000000003</v>
      </c>
      <c r="H75" s="36">
        <f t="shared" si="40"/>
        <v>1593200</v>
      </c>
      <c r="I75" s="12">
        <f>13+13+10</f>
        <v>36</v>
      </c>
      <c r="J75" s="12">
        <f t="shared" si="41"/>
        <v>4</v>
      </c>
      <c r="K75" s="35">
        <f t="shared" si="42"/>
        <v>1260000</v>
      </c>
      <c r="L75" s="35">
        <f t="shared" si="26"/>
        <v>173880</v>
      </c>
      <c r="M75" s="35">
        <f t="shared" si="43"/>
        <v>126000</v>
      </c>
      <c r="N75" s="36">
        <f t="shared" si="44"/>
        <v>1307880</v>
      </c>
      <c r="O75" s="36">
        <f t="shared" si="45"/>
        <v>140000</v>
      </c>
      <c r="P75" s="12"/>
      <c r="R75" s="23"/>
    </row>
    <row r="76" spans="1:18" ht="71.25" customHeight="1" x14ac:dyDescent="0.25">
      <c r="A76" s="12" t="s">
        <v>307</v>
      </c>
      <c r="B76" s="44" t="s">
        <v>308</v>
      </c>
      <c r="C76" s="12" t="s">
        <v>227</v>
      </c>
      <c r="D76" s="34">
        <v>3</v>
      </c>
      <c r="E76" s="35"/>
      <c r="F76" s="35"/>
      <c r="G76" s="35"/>
      <c r="H76" s="36"/>
      <c r="I76" s="12"/>
      <c r="J76" s="12"/>
      <c r="K76" s="35"/>
      <c r="L76" s="35"/>
      <c r="M76" s="35"/>
      <c r="N76" s="36"/>
      <c r="O76" s="36"/>
      <c r="P76" s="12"/>
      <c r="R76" s="23"/>
    </row>
    <row r="77" spans="1:18" ht="71.25" customHeight="1" x14ac:dyDescent="0.25">
      <c r="A77" s="12" t="s">
        <v>309</v>
      </c>
      <c r="B77" s="44" t="s">
        <v>293</v>
      </c>
      <c r="C77" s="12" t="s">
        <v>32</v>
      </c>
      <c r="D77" s="34">
        <v>20</v>
      </c>
      <c r="E77" s="35">
        <f>600000/D77</f>
        <v>30000</v>
      </c>
      <c r="F77" s="35">
        <f t="shared" si="32"/>
        <v>600000</v>
      </c>
      <c r="G77" s="35">
        <f t="shared" si="0"/>
        <v>82800</v>
      </c>
      <c r="H77" s="36">
        <f t="shared" ref="H77:H79" si="46">F77+G77</f>
        <v>682800</v>
      </c>
      <c r="I77" s="12">
        <f>7+6</f>
        <v>13</v>
      </c>
      <c r="J77" s="12">
        <f t="shared" ref="J77:J79" si="47">D77-I77</f>
        <v>7</v>
      </c>
      <c r="K77" s="35">
        <f t="shared" ref="K77:K79" si="48">I77*E77</f>
        <v>390000</v>
      </c>
      <c r="L77" s="35">
        <f t="shared" si="26"/>
        <v>53820.000000000007</v>
      </c>
      <c r="M77" s="35">
        <f t="shared" ref="M77:M79" si="49">K77*10%</f>
        <v>39000</v>
      </c>
      <c r="N77" s="36">
        <f t="shared" ref="N77:N78" si="50">SUM(K77:L77)-M77</f>
        <v>404820</v>
      </c>
      <c r="O77" s="36">
        <f t="shared" ref="O77:O79" si="51">J77*E77</f>
        <v>210000</v>
      </c>
      <c r="P77" s="12"/>
      <c r="R77" s="23"/>
    </row>
    <row r="78" spans="1:18" ht="71.25" customHeight="1" x14ac:dyDescent="0.25">
      <c r="A78" s="12" t="s">
        <v>310</v>
      </c>
      <c r="B78" s="44" t="s">
        <v>231</v>
      </c>
      <c r="C78" s="12" t="s">
        <v>32</v>
      </c>
      <c r="D78" s="34">
        <v>40</v>
      </c>
      <c r="E78" s="35">
        <f>1200000/40</f>
        <v>30000</v>
      </c>
      <c r="F78" s="35">
        <f t="shared" si="32"/>
        <v>1200000</v>
      </c>
      <c r="G78" s="35">
        <f t="shared" si="0"/>
        <v>165600</v>
      </c>
      <c r="H78" s="36">
        <f t="shared" si="46"/>
        <v>1365600</v>
      </c>
      <c r="I78" s="12">
        <f>14+13</f>
        <v>27</v>
      </c>
      <c r="J78" s="12">
        <f t="shared" si="47"/>
        <v>13</v>
      </c>
      <c r="K78" s="35">
        <f t="shared" si="48"/>
        <v>810000</v>
      </c>
      <c r="L78" s="35">
        <f t="shared" si="26"/>
        <v>111780.00000000001</v>
      </c>
      <c r="M78" s="35">
        <f t="shared" si="49"/>
        <v>81000</v>
      </c>
      <c r="N78" s="36">
        <f t="shared" si="50"/>
        <v>840780</v>
      </c>
      <c r="O78" s="36">
        <f t="shared" si="51"/>
        <v>390000</v>
      </c>
      <c r="P78" s="12"/>
      <c r="R78" s="23"/>
    </row>
    <row r="79" spans="1:18" ht="71.25" customHeight="1" x14ac:dyDescent="0.25">
      <c r="A79" s="12" t="s">
        <v>311</v>
      </c>
      <c r="B79" s="44" t="s">
        <v>233</v>
      </c>
      <c r="C79" s="12" t="s">
        <v>32</v>
      </c>
      <c r="D79" s="34">
        <v>40</v>
      </c>
      <c r="E79" s="35">
        <f>1200000/40</f>
        <v>30000</v>
      </c>
      <c r="F79" s="35">
        <f t="shared" si="32"/>
        <v>1200000</v>
      </c>
      <c r="G79" s="35">
        <f t="shared" si="0"/>
        <v>165600</v>
      </c>
      <c r="H79" s="36">
        <f t="shared" si="46"/>
        <v>1365600</v>
      </c>
      <c r="I79" s="12">
        <f>13+13</f>
        <v>26</v>
      </c>
      <c r="J79" s="12">
        <f t="shared" si="47"/>
        <v>14</v>
      </c>
      <c r="K79" s="35">
        <f t="shared" si="48"/>
        <v>780000</v>
      </c>
      <c r="L79" s="35">
        <f t="shared" si="26"/>
        <v>107640.00000000001</v>
      </c>
      <c r="M79" s="35">
        <f t="shared" si="49"/>
        <v>78000</v>
      </c>
      <c r="N79" s="36">
        <f t="shared" ref="N79" si="52">SUM(K79:L79)-M79</f>
        <v>809640</v>
      </c>
      <c r="O79" s="36">
        <f t="shared" si="51"/>
        <v>420000</v>
      </c>
      <c r="P79" s="12"/>
      <c r="R79" s="23"/>
    </row>
    <row r="80" spans="1:18" ht="71.25" customHeight="1" x14ac:dyDescent="0.25">
      <c r="A80" s="12" t="s">
        <v>312</v>
      </c>
      <c r="B80" s="44" t="s">
        <v>313</v>
      </c>
      <c r="C80" s="12" t="s">
        <v>214</v>
      </c>
      <c r="D80" s="34">
        <v>16</v>
      </c>
      <c r="E80" s="35"/>
      <c r="F80" s="35"/>
      <c r="G80" s="35"/>
      <c r="H80" s="36"/>
      <c r="I80" s="12"/>
      <c r="J80" s="12"/>
      <c r="K80" s="35"/>
      <c r="L80" s="35"/>
      <c r="M80" s="35"/>
      <c r="N80" s="36"/>
      <c r="O80" s="36"/>
      <c r="P80" s="12"/>
      <c r="R80" s="23"/>
    </row>
    <row r="81" spans="1:18" ht="71.25" customHeight="1" x14ac:dyDescent="0.25">
      <c r="A81" s="12" t="s">
        <v>314</v>
      </c>
      <c r="B81" s="44" t="s">
        <v>293</v>
      </c>
      <c r="C81" s="12" t="s">
        <v>32</v>
      </c>
      <c r="D81" s="34">
        <v>20</v>
      </c>
      <c r="E81" s="35">
        <f>360000/D81</f>
        <v>18000</v>
      </c>
      <c r="F81" s="35">
        <f t="shared" si="32"/>
        <v>360000</v>
      </c>
      <c r="G81" s="35">
        <f t="shared" si="0"/>
        <v>49680.000000000007</v>
      </c>
      <c r="H81" s="36">
        <f t="shared" ref="H81:H83" si="53">F81+G81</f>
        <v>409680</v>
      </c>
      <c r="I81" s="12">
        <f>5+15</f>
        <v>20</v>
      </c>
      <c r="J81" s="12">
        <f t="shared" ref="J81:J83" si="54">D81-I81</f>
        <v>0</v>
      </c>
      <c r="K81" s="35">
        <f t="shared" ref="K81:K83" si="55">I81*E81</f>
        <v>360000</v>
      </c>
      <c r="L81" s="35">
        <f t="shared" si="26"/>
        <v>49680.000000000007</v>
      </c>
      <c r="M81" s="35">
        <f t="shared" ref="M81:M83" si="56">K81*10%</f>
        <v>36000</v>
      </c>
      <c r="N81" s="36">
        <f t="shared" ref="N81:N83" si="57">SUM(K81:L81)-M81</f>
        <v>373680</v>
      </c>
      <c r="O81" s="36">
        <f t="shared" ref="O81:O83" si="58">J81*E81</f>
        <v>0</v>
      </c>
      <c r="P81" s="12"/>
      <c r="R81" s="23"/>
    </row>
    <row r="82" spans="1:18" ht="71.25" customHeight="1" x14ac:dyDescent="0.25">
      <c r="A82" s="12" t="s">
        <v>315</v>
      </c>
      <c r="B82" s="44" t="s">
        <v>295</v>
      </c>
      <c r="C82" s="12" t="s">
        <v>32</v>
      </c>
      <c r="D82" s="34">
        <v>40</v>
      </c>
      <c r="E82" s="35">
        <f>720000/D82</f>
        <v>18000</v>
      </c>
      <c r="F82" s="35">
        <f t="shared" si="32"/>
        <v>720000</v>
      </c>
      <c r="G82" s="35">
        <f t="shared" si="0"/>
        <v>99360.000000000015</v>
      </c>
      <c r="H82" s="36">
        <f t="shared" si="53"/>
        <v>819360</v>
      </c>
      <c r="I82" s="12">
        <f>10+30</f>
        <v>40</v>
      </c>
      <c r="J82" s="12">
        <f t="shared" si="54"/>
        <v>0</v>
      </c>
      <c r="K82" s="35">
        <f t="shared" si="55"/>
        <v>720000</v>
      </c>
      <c r="L82" s="35">
        <f t="shared" si="26"/>
        <v>99360.000000000015</v>
      </c>
      <c r="M82" s="35">
        <f t="shared" si="56"/>
        <v>72000</v>
      </c>
      <c r="N82" s="36">
        <f t="shared" si="57"/>
        <v>747360</v>
      </c>
      <c r="O82" s="36">
        <f t="shared" si="58"/>
        <v>0</v>
      </c>
      <c r="P82" s="12"/>
      <c r="R82" s="23"/>
    </row>
    <row r="83" spans="1:18" ht="71.25" customHeight="1" x14ac:dyDescent="0.25">
      <c r="A83" s="12" t="s">
        <v>316</v>
      </c>
      <c r="B83" s="44" t="s">
        <v>287</v>
      </c>
      <c r="C83" s="12" t="s">
        <v>32</v>
      </c>
      <c r="D83" s="34">
        <v>40</v>
      </c>
      <c r="E83" s="35">
        <f>720000/D83</f>
        <v>18000</v>
      </c>
      <c r="F83" s="35">
        <f t="shared" si="32"/>
        <v>720000</v>
      </c>
      <c r="G83" s="35">
        <f t="shared" si="0"/>
        <v>99360.000000000015</v>
      </c>
      <c r="H83" s="36">
        <f t="shared" si="53"/>
        <v>819360</v>
      </c>
      <c r="I83" s="12">
        <f>10+30</f>
        <v>40</v>
      </c>
      <c r="J83" s="12">
        <f t="shared" si="54"/>
        <v>0</v>
      </c>
      <c r="K83" s="35">
        <f t="shared" si="55"/>
        <v>720000</v>
      </c>
      <c r="L83" s="35">
        <f t="shared" si="26"/>
        <v>99360.000000000015</v>
      </c>
      <c r="M83" s="35">
        <f t="shared" si="56"/>
        <v>72000</v>
      </c>
      <c r="N83" s="36">
        <f t="shared" si="57"/>
        <v>747360</v>
      </c>
      <c r="O83" s="36">
        <f t="shared" si="58"/>
        <v>0</v>
      </c>
      <c r="P83" s="12"/>
      <c r="R83" s="23"/>
    </row>
    <row r="84" spans="1:18" ht="76.5" customHeight="1" x14ac:dyDescent="0.25">
      <c r="A84" s="12" t="s">
        <v>317</v>
      </c>
      <c r="B84" s="44" t="s">
        <v>318</v>
      </c>
      <c r="C84" s="12"/>
      <c r="D84" s="34"/>
      <c r="E84" s="35"/>
      <c r="F84" s="35"/>
      <c r="G84" s="35"/>
      <c r="H84" s="36"/>
      <c r="I84" s="12"/>
      <c r="J84" s="12"/>
      <c r="K84" s="35"/>
      <c r="L84" s="35"/>
      <c r="M84" s="35"/>
      <c r="N84" s="36"/>
      <c r="O84" s="36"/>
      <c r="P84" s="12"/>
      <c r="R84" s="23"/>
    </row>
    <row r="85" spans="1:18" ht="71.25" customHeight="1" x14ac:dyDescent="0.25">
      <c r="A85" s="12" t="s">
        <v>319</v>
      </c>
      <c r="B85" s="44" t="s">
        <v>320</v>
      </c>
      <c r="C85" s="12" t="s">
        <v>214</v>
      </c>
      <c r="D85" s="34">
        <v>3</v>
      </c>
      <c r="E85" s="35">
        <v>1500000</v>
      </c>
      <c r="F85" s="35">
        <f t="shared" si="32"/>
        <v>4500000</v>
      </c>
      <c r="G85" s="35">
        <f t="shared" si="0"/>
        <v>621000</v>
      </c>
      <c r="H85" s="36">
        <f t="shared" ref="H85:H88" si="59">F85+G85</f>
        <v>5121000</v>
      </c>
      <c r="I85" s="12">
        <f>1+1+1</f>
        <v>3</v>
      </c>
      <c r="J85" s="12">
        <f t="shared" ref="J85:J88" si="60">D85-I85</f>
        <v>0</v>
      </c>
      <c r="K85" s="35">
        <f t="shared" ref="K85:K88" si="61">I85*E85</f>
        <v>4500000</v>
      </c>
      <c r="L85" s="35">
        <f t="shared" si="26"/>
        <v>621000</v>
      </c>
      <c r="M85" s="35">
        <f t="shared" ref="M85:M88" si="62">K85*10%</f>
        <v>450000</v>
      </c>
      <c r="N85" s="36">
        <f t="shared" ref="N85" si="63">SUM(K85:L85)-M85</f>
        <v>4671000</v>
      </c>
      <c r="O85" s="36">
        <f t="shared" ref="O85:O88" si="64">J85*E85</f>
        <v>0</v>
      </c>
      <c r="P85" s="12"/>
      <c r="R85" s="23"/>
    </row>
    <row r="86" spans="1:18" ht="71.25" customHeight="1" x14ac:dyDescent="0.25">
      <c r="A86" s="12" t="s">
        <v>321</v>
      </c>
      <c r="B86" s="44" t="s">
        <v>322</v>
      </c>
      <c r="C86" s="12" t="s">
        <v>214</v>
      </c>
      <c r="D86" s="34">
        <v>3</v>
      </c>
      <c r="E86" s="35">
        <v>1500000</v>
      </c>
      <c r="F86" s="35">
        <f t="shared" si="32"/>
        <v>4500000</v>
      </c>
      <c r="G86" s="35">
        <f t="shared" si="0"/>
        <v>621000</v>
      </c>
      <c r="H86" s="36">
        <f t="shared" si="59"/>
        <v>5121000</v>
      </c>
      <c r="I86" s="12">
        <f>1+1</f>
        <v>2</v>
      </c>
      <c r="J86" s="12">
        <f t="shared" si="60"/>
        <v>1</v>
      </c>
      <c r="K86" s="35">
        <f t="shared" si="61"/>
        <v>3000000</v>
      </c>
      <c r="L86" s="35">
        <f t="shared" si="26"/>
        <v>414000.00000000006</v>
      </c>
      <c r="M86" s="35">
        <f t="shared" si="62"/>
        <v>300000</v>
      </c>
      <c r="N86" s="36">
        <f t="shared" ref="N86:N88" si="65">SUM(K86:L86)-M86</f>
        <v>3114000</v>
      </c>
      <c r="O86" s="36">
        <f t="shared" si="64"/>
        <v>1500000</v>
      </c>
      <c r="P86" s="12"/>
      <c r="R86" s="23"/>
    </row>
    <row r="87" spans="1:18" ht="71.25" customHeight="1" x14ac:dyDescent="0.25">
      <c r="A87" s="12" t="s">
        <v>323</v>
      </c>
      <c r="B87" s="44" t="s">
        <v>324</v>
      </c>
      <c r="C87" s="12" t="s">
        <v>214</v>
      </c>
      <c r="D87" s="34">
        <v>3</v>
      </c>
      <c r="E87" s="35">
        <v>1500000</v>
      </c>
      <c r="F87" s="35">
        <f t="shared" si="32"/>
        <v>4500000</v>
      </c>
      <c r="G87" s="35">
        <f t="shared" si="0"/>
        <v>621000</v>
      </c>
      <c r="H87" s="36">
        <f t="shared" si="59"/>
        <v>5121000</v>
      </c>
      <c r="I87" s="12">
        <f>1</f>
        <v>1</v>
      </c>
      <c r="J87" s="12">
        <f t="shared" si="60"/>
        <v>2</v>
      </c>
      <c r="K87" s="35">
        <f t="shared" si="61"/>
        <v>1500000</v>
      </c>
      <c r="L87" s="35">
        <f t="shared" si="26"/>
        <v>207000.00000000003</v>
      </c>
      <c r="M87" s="35">
        <f t="shared" si="62"/>
        <v>150000</v>
      </c>
      <c r="N87" s="36">
        <f t="shared" si="65"/>
        <v>1557000</v>
      </c>
      <c r="O87" s="36">
        <f t="shared" si="64"/>
        <v>3000000</v>
      </c>
      <c r="P87" s="12"/>
      <c r="R87" s="23"/>
    </row>
    <row r="88" spans="1:18" ht="71.25" customHeight="1" x14ac:dyDescent="0.25">
      <c r="A88" s="12" t="s">
        <v>325</v>
      </c>
      <c r="B88" s="44" t="s">
        <v>326</v>
      </c>
      <c r="C88" s="12" t="s">
        <v>227</v>
      </c>
      <c r="D88" s="34">
        <v>3</v>
      </c>
      <c r="E88" s="35">
        <v>541666.66599999997</v>
      </c>
      <c r="F88" s="35">
        <f>(D88*E88)</f>
        <v>1624999.9979999999</v>
      </c>
      <c r="G88" s="35">
        <f t="shared" si="0"/>
        <v>224249.99972399999</v>
      </c>
      <c r="H88" s="36">
        <f t="shared" si="59"/>
        <v>1849249.9977239999</v>
      </c>
      <c r="I88" s="12">
        <f>1</f>
        <v>1</v>
      </c>
      <c r="J88" s="12">
        <f t="shared" si="60"/>
        <v>2</v>
      </c>
      <c r="K88" s="35">
        <f t="shared" si="61"/>
        <v>541666.66599999997</v>
      </c>
      <c r="L88" s="35">
        <f t="shared" si="26"/>
        <v>74749.999907999998</v>
      </c>
      <c r="M88" s="35">
        <f t="shared" si="62"/>
        <v>54166.666599999997</v>
      </c>
      <c r="N88" s="36">
        <f t="shared" si="65"/>
        <v>562249.99930799997</v>
      </c>
      <c r="O88" s="36">
        <f t="shared" si="64"/>
        <v>1083333.3319999999</v>
      </c>
      <c r="P88" s="12"/>
      <c r="R88" s="23"/>
    </row>
    <row r="89" spans="1:18" ht="71.25" customHeight="1" x14ac:dyDescent="0.25">
      <c r="A89" s="12" t="s">
        <v>327</v>
      </c>
      <c r="B89" s="44" t="s">
        <v>328</v>
      </c>
      <c r="C89" s="12" t="s">
        <v>227</v>
      </c>
      <c r="D89" s="34">
        <v>3</v>
      </c>
      <c r="E89" s="35"/>
      <c r="F89" s="35"/>
      <c r="G89" s="35"/>
      <c r="H89" s="36"/>
      <c r="I89" s="12"/>
      <c r="J89" s="12"/>
      <c r="K89" s="35"/>
      <c r="L89" s="35"/>
      <c r="M89" s="35"/>
      <c r="N89" s="36"/>
      <c r="O89" s="36"/>
      <c r="P89" s="12"/>
      <c r="R89" s="23"/>
    </row>
    <row r="90" spans="1:18" ht="71.25" customHeight="1" x14ac:dyDescent="0.25">
      <c r="A90" s="12" t="s">
        <v>329</v>
      </c>
      <c r="B90" s="44" t="s">
        <v>293</v>
      </c>
      <c r="C90" s="12" t="s">
        <v>32</v>
      </c>
      <c r="D90" s="34">
        <v>20</v>
      </c>
      <c r="E90" s="35">
        <f>885000/D90</f>
        <v>44250</v>
      </c>
      <c r="F90" s="35">
        <f t="shared" si="32"/>
        <v>885000</v>
      </c>
      <c r="G90" s="35">
        <f t="shared" si="0"/>
        <v>122130.00000000001</v>
      </c>
      <c r="H90" s="36">
        <f t="shared" ref="H90:H92" si="66">F90+G90</f>
        <v>1007130</v>
      </c>
      <c r="I90" s="12">
        <f>6</f>
        <v>6</v>
      </c>
      <c r="J90" s="12">
        <f t="shared" ref="J90:J92" si="67">D90-I90</f>
        <v>14</v>
      </c>
      <c r="K90" s="35">
        <f t="shared" ref="K90:K92" si="68">I90*E90</f>
        <v>265500</v>
      </c>
      <c r="L90" s="35">
        <f t="shared" si="26"/>
        <v>36639</v>
      </c>
      <c r="M90" s="35">
        <f t="shared" ref="M90:M92" si="69">K90*10%</f>
        <v>26550</v>
      </c>
      <c r="N90" s="36">
        <f t="shared" ref="N90:N92" si="70">SUM(K90:L90)-M90</f>
        <v>275589</v>
      </c>
      <c r="O90" s="36">
        <f t="shared" ref="O90:O92" si="71">J90*E90</f>
        <v>619500</v>
      </c>
      <c r="P90" s="12"/>
      <c r="R90" s="23"/>
    </row>
    <row r="91" spans="1:18" ht="71.25" customHeight="1" x14ac:dyDescent="0.25">
      <c r="A91" s="12" t="s">
        <v>330</v>
      </c>
      <c r="B91" s="44" t="s">
        <v>231</v>
      </c>
      <c r="C91" s="12" t="s">
        <v>32</v>
      </c>
      <c r="D91" s="34">
        <v>40</v>
      </c>
      <c r="E91" s="35">
        <f>1770000/D91</f>
        <v>44250</v>
      </c>
      <c r="F91" s="35">
        <f t="shared" si="32"/>
        <v>1770000</v>
      </c>
      <c r="G91" s="35">
        <f t="shared" si="0"/>
        <v>244260.00000000003</v>
      </c>
      <c r="H91" s="36">
        <f t="shared" si="66"/>
        <v>2014260</v>
      </c>
      <c r="I91" s="12">
        <f>13</f>
        <v>13</v>
      </c>
      <c r="J91" s="12">
        <f t="shared" si="67"/>
        <v>27</v>
      </c>
      <c r="K91" s="35">
        <f t="shared" si="68"/>
        <v>575250</v>
      </c>
      <c r="L91" s="35">
        <f t="shared" si="26"/>
        <v>79384.5</v>
      </c>
      <c r="M91" s="35">
        <f t="shared" si="69"/>
        <v>57525</v>
      </c>
      <c r="N91" s="36">
        <f t="shared" si="70"/>
        <v>597109.5</v>
      </c>
      <c r="O91" s="36">
        <f t="shared" si="71"/>
        <v>1194750</v>
      </c>
      <c r="P91" s="12"/>
      <c r="R91" s="23"/>
    </row>
    <row r="92" spans="1:18" ht="71.25" customHeight="1" x14ac:dyDescent="0.25">
      <c r="A92" s="12" t="s">
        <v>331</v>
      </c>
      <c r="B92" s="44" t="s">
        <v>233</v>
      </c>
      <c r="C92" s="12" t="s">
        <v>32</v>
      </c>
      <c r="D92" s="34">
        <v>40</v>
      </c>
      <c r="E92" s="35">
        <f>1770000/D92</f>
        <v>44250</v>
      </c>
      <c r="F92" s="35">
        <f t="shared" si="32"/>
        <v>1770000</v>
      </c>
      <c r="G92" s="35">
        <f t="shared" si="0"/>
        <v>244260.00000000003</v>
      </c>
      <c r="H92" s="36">
        <f t="shared" si="66"/>
        <v>2014260</v>
      </c>
      <c r="I92" s="12">
        <f>13</f>
        <v>13</v>
      </c>
      <c r="J92" s="12">
        <f t="shared" si="67"/>
        <v>27</v>
      </c>
      <c r="K92" s="35">
        <f t="shared" si="68"/>
        <v>575250</v>
      </c>
      <c r="L92" s="35">
        <f t="shared" si="26"/>
        <v>79384.5</v>
      </c>
      <c r="M92" s="35">
        <f t="shared" si="69"/>
        <v>57525</v>
      </c>
      <c r="N92" s="36">
        <f t="shared" si="70"/>
        <v>597109.5</v>
      </c>
      <c r="O92" s="36">
        <f t="shared" si="71"/>
        <v>1194750</v>
      </c>
      <c r="P92" s="12"/>
      <c r="R92" s="23"/>
    </row>
    <row r="93" spans="1:18" ht="71.25" customHeight="1" x14ac:dyDescent="0.25">
      <c r="A93" s="12" t="s">
        <v>332</v>
      </c>
      <c r="B93" s="44" t="s">
        <v>333</v>
      </c>
      <c r="C93" s="12" t="s">
        <v>227</v>
      </c>
      <c r="D93" s="34">
        <v>3</v>
      </c>
      <c r="E93" s="35"/>
      <c r="F93" s="35"/>
      <c r="G93" s="35"/>
      <c r="H93" s="36"/>
      <c r="I93" s="12"/>
      <c r="J93" s="12"/>
      <c r="K93" s="35"/>
      <c r="L93" s="35"/>
      <c r="M93" s="35"/>
      <c r="N93" s="36"/>
      <c r="O93" s="36"/>
      <c r="P93" s="12"/>
      <c r="R93" s="23"/>
    </row>
    <row r="94" spans="1:18" ht="71.25" customHeight="1" x14ac:dyDescent="0.25">
      <c r="A94" s="12" t="s">
        <v>334</v>
      </c>
      <c r="B94" s="44" t="s">
        <v>293</v>
      </c>
      <c r="C94" s="12" t="s">
        <v>32</v>
      </c>
      <c r="D94" s="34">
        <v>20</v>
      </c>
      <c r="E94" s="35">
        <f>350000/D94</f>
        <v>17500</v>
      </c>
      <c r="F94" s="35">
        <f t="shared" si="32"/>
        <v>350000</v>
      </c>
      <c r="G94" s="35">
        <f t="shared" si="0"/>
        <v>48300.000000000007</v>
      </c>
      <c r="H94" s="36">
        <f t="shared" ref="H94:H96" si="72">F94+G94</f>
        <v>398300</v>
      </c>
      <c r="I94" s="12">
        <f>6</f>
        <v>6</v>
      </c>
      <c r="J94" s="12">
        <f t="shared" ref="J94:J96" si="73">D94-I94</f>
        <v>14</v>
      </c>
      <c r="K94" s="35">
        <f t="shared" ref="K94:K96" si="74">I94*E94</f>
        <v>105000</v>
      </c>
      <c r="L94" s="35">
        <f t="shared" si="26"/>
        <v>14490.000000000002</v>
      </c>
      <c r="M94" s="35">
        <f t="shared" ref="M94:M96" si="75">K94*10%</f>
        <v>10500</v>
      </c>
      <c r="N94" s="36">
        <f t="shared" ref="N94:N96" si="76">SUM(K94:L94)-M94</f>
        <v>108990</v>
      </c>
      <c r="O94" s="36">
        <f t="shared" ref="O94:O96" si="77">J94*E94</f>
        <v>245000</v>
      </c>
      <c r="P94" s="12"/>
      <c r="R94" s="23"/>
    </row>
    <row r="95" spans="1:18" ht="71.25" customHeight="1" x14ac:dyDescent="0.25">
      <c r="A95" s="12" t="s">
        <v>335</v>
      </c>
      <c r="B95" s="44" t="s">
        <v>295</v>
      </c>
      <c r="C95" s="12" t="s">
        <v>32</v>
      </c>
      <c r="D95" s="34">
        <v>40</v>
      </c>
      <c r="E95" s="35">
        <f>700000/D95</f>
        <v>17500</v>
      </c>
      <c r="F95" s="35">
        <f t="shared" si="32"/>
        <v>700000</v>
      </c>
      <c r="G95" s="35">
        <f t="shared" si="0"/>
        <v>96600.000000000015</v>
      </c>
      <c r="H95" s="36">
        <f t="shared" si="72"/>
        <v>796600</v>
      </c>
      <c r="I95" s="12">
        <f>13</f>
        <v>13</v>
      </c>
      <c r="J95" s="12">
        <f t="shared" si="73"/>
        <v>27</v>
      </c>
      <c r="K95" s="35">
        <f t="shared" si="74"/>
        <v>227500</v>
      </c>
      <c r="L95" s="35">
        <f t="shared" si="26"/>
        <v>31395.000000000004</v>
      </c>
      <c r="M95" s="35">
        <f t="shared" si="75"/>
        <v>22750</v>
      </c>
      <c r="N95" s="36">
        <f t="shared" si="76"/>
        <v>236145</v>
      </c>
      <c r="O95" s="36">
        <f t="shared" si="77"/>
        <v>472500</v>
      </c>
      <c r="P95" s="12"/>
      <c r="R95" s="23"/>
    </row>
    <row r="96" spans="1:18" ht="71.25" customHeight="1" x14ac:dyDescent="0.25">
      <c r="A96" s="12" t="s">
        <v>336</v>
      </c>
      <c r="B96" s="44" t="s">
        <v>287</v>
      </c>
      <c r="C96" s="12" t="s">
        <v>32</v>
      </c>
      <c r="D96" s="34">
        <v>40</v>
      </c>
      <c r="E96" s="35">
        <f>700000/D96</f>
        <v>17500</v>
      </c>
      <c r="F96" s="35">
        <f t="shared" si="32"/>
        <v>700000</v>
      </c>
      <c r="G96" s="35">
        <f t="shared" si="0"/>
        <v>96600.000000000015</v>
      </c>
      <c r="H96" s="36">
        <f t="shared" si="72"/>
        <v>796600</v>
      </c>
      <c r="I96" s="12">
        <f>13</f>
        <v>13</v>
      </c>
      <c r="J96" s="12">
        <f t="shared" si="73"/>
        <v>27</v>
      </c>
      <c r="K96" s="35">
        <f t="shared" si="74"/>
        <v>227500</v>
      </c>
      <c r="L96" s="35">
        <f t="shared" si="26"/>
        <v>31395.000000000004</v>
      </c>
      <c r="M96" s="35">
        <f t="shared" si="75"/>
        <v>22750</v>
      </c>
      <c r="N96" s="36">
        <f t="shared" si="76"/>
        <v>236145</v>
      </c>
      <c r="O96" s="36">
        <f t="shared" si="77"/>
        <v>472500</v>
      </c>
      <c r="P96" s="12"/>
      <c r="R96" s="23"/>
    </row>
    <row r="97" spans="1:18" ht="34.5" customHeight="1" x14ac:dyDescent="0.25">
      <c r="A97" s="12"/>
      <c r="B97" s="44"/>
      <c r="C97" s="12"/>
      <c r="D97" s="34"/>
      <c r="E97" s="35"/>
      <c r="F97" s="35"/>
      <c r="G97" s="35"/>
      <c r="H97" s="36"/>
      <c r="I97" s="12"/>
      <c r="J97" s="12"/>
      <c r="K97" s="35"/>
      <c r="L97" s="35"/>
      <c r="M97" s="35"/>
      <c r="N97" s="36"/>
      <c r="O97" s="36"/>
      <c r="P97" s="12"/>
      <c r="R97" s="23"/>
    </row>
    <row r="98" spans="1:18" ht="48" customHeight="1" x14ac:dyDescent="0.25">
      <c r="A98" s="104" t="s">
        <v>337</v>
      </c>
      <c r="B98" s="111" t="s">
        <v>338</v>
      </c>
      <c r="C98" s="41"/>
      <c r="D98" s="41"/>
      <c r="E98" s="104"/>
      <c r="F98" s="35"/>
      <c r="G98" s="35"/>
      <c r="H98" s="36"/>
      <c r="I98" s="12"/>
      <c r="J98" s="12"/>
      <c r="K98" s="35"/>
      <c r="L98" s="35"/>
      <c r="M98" s="35"/>
      <c r="N98" s="36"/>
      <c r="O98" s="36"/>
      <c r="P98" s="12"/>
      <c r="R98" s="23"/>
    </row>
    <row r="99" spans="1:18" ht="48" customHeight="1" x14ac:dyDescent="0.25">
      <c r="A99" s="12" t="s">
        <v>339</v>
      </c>
      <c r="B99" s="44" t="s">
        <v>340</v>
      </c>
      <c r="C99" s="12" t="s">
        <v>21</v>
      </c>
      <c r="D99" s="34">
        <v>1</v>
      </c>
      <c r="E99" s="35"/>
      <c r="F99" s="35"/>
      <c r="G99" s="35"/>
      <c r="H99" s="36"/>
      <c r="I99" s="12"/>
      <c r="J99" s="12"/>
      <c r="K99" s="35"/>
      <c r="L99" s="35"/>
      <c r="M99" s="35"/>
      <c r="N99" s="36"/>
      <c r="O99" s="36"/>
      <c r="P99" s="12"/>
      <c r="R99" s="23"/>
    </row>
    <row r="100" spans="1:18" ht="48" customHeight="1" x14ac:dyDescent="0.25">
      <c r="A100" s="12" t="s">
        <v>341</v>
      </c>
      <c r="B100" s="44" t="s">
        <v>342</v>
      </c>
      <c r="C100" s="12"/>
      <c r="D100" s="34">
        <v>10</v>
      </c>
      <c r="E100" s="35">
        <f>2028129/D100</f>
        <v>202812.9</v>
      </c>
      <c r="F100" s="35">
        <f t="shared" ref="F100:F104" si="78">D100*E100</f>
        <v>2028129</v>
      </c>
      <c r="G100" s="35">
        <f t="shared" ref="G100:G102" si="79">F100*13.8%</f>
        <v>279881.80200000003</v>
      </c>
      <c r="H100" s="36">
        <f t="shared" ref="H100:H102" si="80">F100+G100</f>
        <v>2308010.8020000001</v>
      </c>
      <c r="I100" s="12"/>
      <c r="J100" s="12">
        <f t="shared" ref="J100:J102" si="81">D100-I100</f>
        <v>10</v>
      </c>
      <c r="K100" s="35">
        <f t="shared" ref="K100:K102" si="82">I100*E100</f>
        <v>0</v>
      </c>
      <c r="L100" s="35">
        <f t="shared" ref="L100:L102" si="83">K100*13.8%</f>
        <v>0</v>
      </c>
      <c r="M100" s="35">
        <f t="shared" ref="M100:M102" si="84">K100*10%</f>
        <v>0</v>
      </c>
      <c r="N100" s="36">
        <f t="shared" ref="N100:N102" si="85">SUM(K100:L100)-M100</f>
        <v>0</v>
      </c>
      <c r="O100" s="36">
        <f t="shared" ref="O100:O102" si="86">J100*E100</f>
        <v>2028129</v>
      </c>
      <c r="P100" s="12"/>
      <c r="R100" s="23"/>
    </row>
    <row r="101" spans="1:18" ht="48" customHeight="1" x14ac:dyDescent="0.25">
      <c r="A101" s="12" t="s">
        <v>343</v>
      </c>
      <c r="B101" s="44" t="s">
        <v>344</v>
      </c>
      <c r="C101" s="12"/>
      <c r="D101" s="34">
        <v>40</v>
      </c>
      <c r="E101" s="35">
        <f>8112517/D101</f>
        <v>202812.92499999999</v>
      </c>
      <c r="F101" s="35">
        <f t="shared" si="78"/>
        <v>8112517</v>
      </c>
      <c r="G101" s="35">
        <f t="shared" si="79"/>
        <v>1119527.3460000001</v>
      </c>
      <c r="H101" s="36">
        <f t="shared" si="80"/>
        <v>9232044.3460000008</v>
      </c>
      <c r="I101" s="12"/>
      <c r="J101" s="12">
        <f t="shared" si="81"/>
        <v>40</v>
      </c>
      <c r="K101" s="35">
        <f t="shared" si="82"/>
        <v>0</v>
      </c>
      <c r="L101" s="35">
        <f t="shared" si="83"/>
        <v>0</v>
      </c>
      <c r="M101" s="35">
        <f t="shared" si="84"/>
        <v>0</v>
      </c>
      <c r="N101" s="36">
        <f t="shared" si="85"/>
        <v>0</v>
      </c>
      <c r="O101" s="36">
        <f t="shared" si="86"/>
        <v>8112517</v>
      </c>
      <c r="P101" s="12"/>
      <c r="R101" s="23"/>
    </row>
    <row r="102" spans="1:18" ht="48" customHeight="1" x14ac:dyDescent="0.25">
      <c r="A102" s="12" t="s">
        <v>345</v>
      </c>
      <c r="B102" s="44" t="s">
        <v>346</v>
      </c>
      <c r="C102" s="12"/>
      <c r="D102" s="34">
        <v>50</v>
      </c>
      <c r="E102" s="35">
        <f>10140647/D102</f>
        <v>202812.94</v>
      </c>
      <c r="F102" s="35">
        <f t="shared" si="78"/>
        <v>10140647</v>
      </c>
      <c r="G102" s="35">
        <f t="shared" si="79"/>
        <v>1399409.2860000001</v>
      </c>
      <c r="H102" s="36">
        <f t="shared" si="80"/>
        <v>11540056.286</v>
      </c>
      <c r="I102" s="12"/>
      <c r="J102" s="12">
        <f t="shared" si="81"/>
        <v>50</v>
      </c>
      <c r="K102" s="35">
        <f t="shared" si="82"/>
        <v>0</v>
      </c>
      <c r="L102" s="35">
        <f t="shared" si="83"/>
        <v>0</v>
      </c>
      <c r="M102" s="35">
        <f t="shared" si="84"/>
        <v>0</v>
      </c>
      <c r="N102" s="36">
        <f t="shared" si="85"/>
        <v>0</v>
      </c>
      <c r="O102" s="36">
        <f t="shared" si="86"/>
        <v>10140647</v>
      </c>
      <c r="P102" s="12"/>
      <c r="R102" s="23"/>
    </row>
    <row r="103" spans="1:18" ht="48" customHeight="1" x14ac:dyDescent="0.25">
      <c r="A103" s="12" t="s">
        <v>347</v>
      </c>
      <c r="B103" s="44" t="s">
        <v>348</v>
      </c>
      <c r="C103" s="12"/>
      <c r="D103" s="34"/>
      <c r="E103" s="35"/>
      <c r="F103" s="35"/>
      <c r="G103" s="35"/>
      <c r="H103" s="36"/>
      <c r="I103" s="12"/>
      <c r="J103" s="12"/>
      <c r="K103" s="35"/>
      <c r="L103" s="35"/>
      <c r="M103" s="35"/>
      <c r="N103" s="36"/>
      <c r="O103" s="36"/>
      <c r="P103" s="12"/>
      <c r="R103" s="23"/>
    </row>
    <row r="104" spans="1:18" ht="48" customHeight="1" x14ac:dyDescent="0.25">
      <c r="A104" s="12" t="s">
        <v>349</v>
      </c>
      <c r="B104" s="44" t="s">
        <v>350</v>
      </c>
      <c r="C104" s="12"/>
      <c r="D104" s="34">
        <v>100</v>
      </c>
      <c r="E104" s="35">
        <v>60000</v>
      </c>
      <c r="F104" s="35">
        <f t="shared" si="78"/>
        <v>6000000</v>
      </c>
      <c r="G104" s="35">
        <f t="shared" ref="G104" si="87">F104*13.8%</f>
        <v>828000.00000000012</v>
      </c>
      <c r="H104" s="36">
        <f t="shared" ref="H104" si="88">F104+G104</f>
        <v>6828000</v>
      </c>
      <c r="I104" s="12"/>
      <c r="J104" s="12">
        <f t="shared" ref="J104" si="89">D104-I104</f>
        <v>100</v>
      </c>
      <c r="K104" s="35">
        <f t="shared" ref="K104" si="90">I104*E104</f>
        <v>0</v>
      </c>
      <c r="L104" s="35">
        <f t="shared" ref="L104" si="91">K104*13.8%</f>
        <v>0</v>
      </c>
      <c r="M104" s="35">
        <f t="shared" ref="M104" si="92">K104*10%</f>
        <v>0</v>
      </c>
      <c r="N104" s="36">
        <f t="shared" ref="N104" si="93">SUM(K104:L104)-M104</f>
        <v>0</v>
      </c>
      <c r="O104" s="36">
        <f t="shared" ref="O104" si="94">J104*E104</f>
        <v>6000000</v>
      </c>
      <c r="P104" s="12"/>
      <c r="R104" s="23"/>
    </row>
    <row r="105" spans="1:18" ht="37.5" customHeight="1" x14ac:dyDescent="0.25">
      <c r="A105" s="104" t="s">
        <v>351</v>
      </c>
      <c r="B105" s="111" t="s">
        <v>352</v>
      </c>
      <c r="C105" s="41" t="s">
        <v>224</v>
      </c>
      <c r="D105" s="41">
        <v>1</v>
      </c>
      <c r="E105" s="104"/>
      <c r="F105" s="42"/>
      <c r="G105" s="35">
        <f t="shared" si="0"/>
        <v>0</v>
      </c>
      <c r="H105" s="36">
        <f t="shared" si="1"/>
        <v>0</v>
      </c>
      <c r="I105" s="12"/>
      <c r="J105" s="12"/>
      <c r="K105" s="35"/>
      <c r="L105" s="35"/>
      <c r="M105" s="35"/>
      <c r="N105" s="36"/>
      <c r="O105" s="36"/>
      <c r="P105" s="12"/>
      <c r="R105" s="23"/>
    </row>
    <row r="106" spans="1:18" ht="37.5" customHeight="1" x14ac:dyDescent="0.25">
      <c r="A106" s="12" t="s">
        <v>353</v>
      </c>
      <c r="B106" s="44" t="s">
        <v>293</v>
      </c>
      <c r="C106" s="12" t="s">
        <v>32</v>
      </c>
      <c r="D106" s="114">
        <v>0.05</v>
      </c>
      <c r="E106" s="35">
        <f t="shared" ref="E106:E113" si="95">15200000*D106</f>
        <v>760000</v>
      </c>
      <c r="F106" s="35">
        <f>E106</f>
        <v>760000</v>
      </c>
      <c r="G106" s="35">
        <f t="shared" si="0"/>
        <v>104880.00000000001</v>
      </c>
      <c r="H106" s="36">
        <f t="shared" ref="H106:H113" si="96">F106+G106</f>
        <v>864880</v>
      </c>
      <c r="I106" s="115">
        <v>0.05</v>
      </c>
      <c r="J106" s="115">
        <f t="shared" ref="J106:J113" si="97">D106-I106</f>
        <v>0</v>
      </c>
      <c r="K106" s="35">
        <f>E106</f>
        <v>760000</v>
      </c>
      <c r="L106" s="35">
        <f t="shared" si="26"/>
        <v>104880.00000000001</v>
      </c>
      <c r="M106" s="35">
        <f t="shared" ref="M106:M113" si="98">K106*10%</f>
        <v>76000</v>
      </c>
      <c r="N106" s="36">
        <f t="shared" ref="N106:N107" si="99">SUM(K106:L106)-M106</f>
        <v>788880</v>
      </c>
      <c r="O106" s="36">
        <f>J106*E106/D106</f>
        <v>0</v>
      </c>
      <c r="P106" s="36"/>
      <c r="R106" s="23"/>
    </row>
    <row r="107" spans="1:18" ht="37.5" customHeight="1" x14ac:dyDescent="0.25">
      <c r="A107" s="12" t="s">
        <v>354</v>
      </c>
      <c r="B107" s="44" t="s">
        <v>355</v>
      </c>
      <c r="C107" s="12" t="s">
        <v>32</v>
      </c>
      <c r="D107" s="114">
        <v>0.15</v>
      </c>
      <c r="E107" s="35">
        <f t="shared" si="95"/>
        <v>2280000</v>
      </c>
      <c r="F107" s="35">
        <f t="shared" ref="F107:F113" si="100">E107</f>
        <v>2280000</v>
      </c>
      <c r="G107" s="35">
        <f t="shared" si="0"/>
        <v>314640</v>
      </c>
      <c r="H107" s="36">
        <f t="shared" si="96"/>
        <v>2594640</v>
      </c>
      <c r="I107" s="115">
        <v>0.15</v>
      </c>
      <c r="J107" s="115">
        <f t="shared" si="97"/>
        <v>0</v>
      </c>
      <c r="K107" s="35">
        <f>E107</f>
        <v>2280000</v>
      </c>
      <c r="L107" s="35">
        <f t="shared" si="26"/>
        <v>314640</v>
      </c>
      <c r="M107" s="35">
        <f t="shared" si="98"/>
        <v>228000</v>
      </c>
      <c r="N107" s="36">
        <f t="shared" si="99"/>
        <v>2366640</v>
      </c>
      <c r="O107" s="36">
        <f t="shared" ref="O107:O113" si="101">J107*E107/D107</f>
        <v>0</v>
      </c>
      <c r="P107" s="12"/>
      <c r="R107" s="23"/>
    </row>
    <row r="108" spans="1:18" ht="37.5" customHeight="1" x14ac:dyDescent="0.25">
      <c r="A108" s="12" t="s">
        <v>356</v>
      </c>
      <c r="B108" s="44" t="s">
        <v>357</v>
      </c>
      <c r="C108" s="12" t="s">
        <v>32</v>
      </c>
      <c r="D108" s="114">
        <v>0.1</v>
      </c>
      <c r="E108" s="35">
        <f t="shared" si="95"/>
        <v>1520000</v>
      </c>
      <c r="F108" s="35">
        <f t="shared" si="100"/>
        <v>1520000</v>
      </c>
      <c r="G108" s="35">
        <f t="shared" si="0"/>
        <v>209760.00000000003</v>
      </c>
      <c r="H108" s="36">
        <f t="shared" si="96"/>
        <v>1729760</v>
      </c>
      <c r="I108" s="115">
        <f>10%</f>
        <v>0.1</v>
      </c>
      <c r="J108" s="115">
        <f t="shared" si="97"/>
        <v>0</v>
      </c>
      <c r="K108" s="35">
        <f>E108</f>
        <v>1520000</v>
      </c>
      <c r="L108" s="35">
        <f t="shared" si="26"/>
        <v>209760.00000000003</v>
      </c>
      <c r="M108" s="35">
        <f t="shared" si="98"/>
        <v>152000</v>
      </c>
      <c r="N108" s="36">
        <f t="shared" ref="N108:N113" si="102">SUM(K108:L108)-M108</f>
        <v>1577760</v>
      </c>
      <c r="O108" s="36">
        <f t="shared" si="101"/>
        <v>0</v>
      </c>
      <c r="P108" s="12"/>
      <c r="R108" s="23"/>
    </row>
    <row r="109" spans="1:18" ht="37.5" customHeight="1" x14ac:dyDescent="0.25">
      <c r="A109" s="12" t="s">
        <v>358</v>
      </c>
      <c r="B109" s="44" t="s">
        <v>359</v>
      </c>
      <c r="C109" s="12" t="s">
        <v>32</v>
      </c>
      <c r="D109" s="114">
        <v>0.15</v>
      </c>
      <c r="E109" s="35">
        <f t="shared" si="95"/>
        <v>2280000</v>
      </c>
      <c r="F109" s="35">
        <f t="shared" si="100"/>
        <v>2280000</v>
      </c>
      <c r="G109" s="35">
        <f t="shared" si="0"/>
        <v>314640</v>
      </c>
      <c r="H109" s="36">
        <f t="shared" si="96"/>
        <v>2594640</v>
      </c>
      <c r="I109" s="115">
        <v>0.15</v>
      </c>
      <c r="J109" s="115">
        <f t="shared" si="97"/>
        <v>0</v>
      </c>
      <c r="K109" s="35">
        <f>E109</f>
        <v>2280000</v>
      </c>
      <c r="L109" s="35">
        <f t="shared" si="26"/>
        <v>314640</v>
      </c>
      <c r="M109" s="35">
        <f t="shared" si="98"/>
        <v>228000</v>
      </c>
      <c r="N109" s="36">
        <f t="shared" si="102"/>
        <v>2366640</v>
      </c>
      <c r="O109" s="36">
        <f t="shared" si="101"/>
        <v>0</v>
      </c>
      <c r="P109" s="12"/>
      <c r="R109" s="23"/>
    </row>
    <row r="110" spans="1:18" ht="37.5" customHeight="1" x14ac:dyDescent="0.25">
      <c r="A110" s="12" t="s">
        <v>360</v>
      </c>
      <c r="B110" s="44" t="s">
        <v>361</v>
      </c>
      <c r="C110" s="12" t="s">
        <v>32</v>
      </c>
      <c r="D110" s="114">
        <v>0.2</v>
      </c>
      <c r="E110" s="35">
        <f t="shared" si="95"/>
        <v>3040000</v>
      </c>
      <c r="F110" s="35">
        <f t="shared" si="100"/>
        <v>3040000</v>
      </c>
      <c r="G110" s="35">
        <f t="shared" si="0"/>
        <v>419520.00000000006</v>
      </c>
      <c r="H110" s="36">
        <f t="shared" si="96"/>
        <v>3459520</v>
      </c>
      <c r="I110" s="115">
        <v>0.2</v>
      </c>
      <c r="J110" s="115">
        <f t="shared" si="97"/>
        <v>0</v>
      </c>
      <c r="K110" s="35">
        <f>E110</f>
        <v>3040000</v>
      </c>
      <c r="L110" s="35">
        <f t="shared" si="26"/>
        <v>419520.00000000006</v>
      </c>
      <c r="M110" s="35">
        <f t="shared" si="98"/>
        <v>304000</v>
      </c>
      <c r="N110" s="36">
        <f t="shared" si="102"/>
        <v>3155520</v>
      </c>
      <c r="O110" s="36">
        <f t="shared" si="101"/>
        <v>0</v>
      </c>
      <c r="P110" s="12"/>
      <c r="R110" s="23"/>
    </row>
    <row r="111" spans="1:18" ht="37.5" customHeight="1" x14ac:dyDescent="0.25">
      <c r="A111" s="12" t="s">
        <v>362</v>
      </c>
      <c r="B111" s="44" t="s">
        <v>363</v>
      </c>
      <c r="C111" s="12" t="s">
        <v>32</v>
      </c>
      <c r="D111" s="114">
        <v>0.05</v>
      </c>
      <c r="E111" s="35">
        <f t="shared" si="95"/>
        <v>760000</v>
      </c>
      <c r="F111" s="35">
        <f t="shared" si="100"/>
        <v>760000</v>
      </c>
      <c r="G111" s="35">
        <f t="shared" si="0"/>
        <v>104880.00000000001</v>
      </c>
      <c r="H111" s="36">
        <f t="shared" si="96"/>
        <v>864880</v>
      </c>
      <c r="I111" s="115">
        <v>0</v>
      </c>
      <c r="J111" s="115">
        <f t="shared" si="97"/>
        <v>0.05</v>
      </c>
      <c r="K111" s="35">
        <f t="shared" ref="K111:K113" si="103">I111*E111</f>
        <v>0</v>
      </c>
      <c r="L111" s="35">
        <f t="shared" si="26"/>
        <v>0</v>
      </c>
      <c r="M111" s="35">
        <f t="shared" si="98"/>
        <v>0</v>
      </c>
      <c r="N111" s="36">
        <f t="shared" si="102"/>
        <v>0</v>
      </c>
      <c r="O111" s="36">
        <f t="shared" si="101"/>
        <v>760000</v>
      </c>
      <c r="P111" s="12"/>
      <c r="R111" s="23"/>
    </row>
    <row r="112" spans="1:18" ht="37.5" customHeight="1" x14ac:dyDescent="0.25">
      <c r="A112" s="12" t="s">
        <v>364</v>
      </c>
      <c r="B112" s="44" t="s">
        <v>365</v>
      </c>
      <c r="C112" s="12" t="s">
        <v>32</v>
      </c>
      <c r="D112" s="114">
        <v>0.15</v>
      </c>
      <c r="E112" s="35">
        <f t="shared" si="95"/>
        <v>2280000</v>
      </c>
      <c r="F112" s="35">
        <f t="shared" si="100"/>
        <v>2280000</v>
      </c>
      <c r="G112" s="35">
        <f t="shared" si="0"/>
        <v>314640</v>
      </c>
      <c r="H112" s="36">
        <f t="shared" si="96"/>
        <v>2594640</v>
      </c>
      <c r="I112" s="115">
        <f>12%</f>
        <v>0.12</v>
      </c>
      <c r="J112" s="115">
        <f t="shared" si="97"/>
        <v>0.03</v>
      </c>
      <c r="K112" s="35">
        <f>I112*E112/D112</f>
        <v>1824000</v>
      </c>
      <c r="L112" s="35">
        <f t="shared" si="26"/>
        <v>251712.00000000003</v>
      </c>
      <c r="M112" s="35">
        <f t="shared" si="98"/>
        <v>182400</v>
      </c>
      <c r="N112" s="36">
        <f t="shared" si="102"/>
        <v>1893312</v>
      </c>
      <c r="O112" s="36">
        <f t="shared" si="101"/>
        <v>456000</v>
      </c>
      <c r="P112" s="12"/>
      <c r="R112" s="23"/>
    </row>
    <row r="113" spans="1:18" ht="37.5" customHeight="1" x14ac:dyDescent="0.25">
      <c r="A113" s="12" t="s">
        <v>366</v>
      </c>
      <c r="B113" s="44" t="s">
        <v>367</v>
      </c>
      <c r="C113" s="12" t="s">
        <v>32</v>
      </c>
      <c r="D113" s="114">
        <v>0.15</v>
      </c>
      <c r="E113" s="35">
        <f t="shared" si="95"/>
        <v>2280000</v>
      </c>
      <c r="F113" s="35">
        <f t="shared" si="100"/>
        <v>2280000</v>
      </c>
      <c r="G113" s="35">
        <f t="shared" si="0"/>
        <v>314640</v>
      </c>
      <c r="H113" s="36">
        <f t="shared" si="96"/>
        <v>2594640</v>
      </c>
      <c r="I113" s="115">
        <v>0</v>
      </c>
      <c r="J113" s="115">
        <f t="shared" si="97"/>
        <v>0.15</v>
      </c>
      <c r="K113" s="35">
        <f t="shared" si="103"/>
        <v>0</v>
      </c>
      <c r="L113" s="35">
        <f t="shared" si="26"/>
        <v>0</v>
      </c>
      <c r="M113" s="35">
        <f t="shared" si="98"/>
        <v>0</v>
      </c>
      <c r="N113" s="36">
        <f t="shared" si="102"/>
        <v>0</v>
      </c>
      <c r="O113" s="36">
        <f t="shared" si="101"/>
        <v>2280000</v>
      </c>
      <c r="P113" s="12"/>
      <c r="R113" s="23"/>
    </row>
    <row r="114" spans="1:18" ht="37.5" customHeight="1" x14ac:dyDescent="0.25">
      <c r="A114" s="108"/>
      <c r="B114" s="111"/>
      <c r="C114" s="116"/>
      <c r="D114" s="116"/>
      <c r="E114" s="108"/>
      <c r="F114" s="117"/>
      <c r="G114" s="118"/>
      <c r="H114" s="117"/>
      <c r="I114" s="12"/>
      <c r="J114" s="12"/>
      <c r="K114" s="35"/>
      <c r="L114" s="35"/>
      <c r="M114" s="35"/>
      <c r="N114" s="36"/>
      <c r="O114" s="36"/>
      <c r="P114" s="12"/>
      <c r="R114" s="23"/>
    </row>
    <row r="115" spans="1:18" ht="37.5" customHeight="1" x14ac:dyDescent="0.25">
      <c r="A115" s="104" t="s">
        <v>368</v>
      </c>
      <c r="B115" s="111" t="s">
        <v>369</v>
      </c>
      <c r="C115" s="41"/>
      <c r="D115" s="41"/>
      <c r="E115" s="42"/>
      <c r="F115" s="35"/>
      <c r="G115" s="35"/>
      <c r="H115" s="36"/>
      <c r="I115" s="12"/>
      <c r="J115" s="12"/>
      <c r="K115" s="35"/>
      <c r="L115" s="35"/>
      <c r="M115" s="35"/>
      <c r="N115" s="36"/>
      <c r="O115" s="36"/>
      <c r="P115" s="12"/>
      <c r="R115" s="23"/>
    </row>
    <row r="116" spans="1:18" ht="37.5" customHeight="1" x14ac:dyDescent="0.25">
      <c r="A116" s="12" t="s">
        <v>370</v>
      </c>
      <c r="B116" s="44" t="s">
        <v>371</v>
      </c>
      <c r="C116" s="12" t="s">
        <v>227</v>
      </c>
      <c r="D116" s="119">
        <v>2</v>
      </c>
      <c r="E116" s="35"/>
      <c r="F116" s="35"/>
      <c r="G116" s="35"/>
      <c r="H116" s="36"/>
      <c r="I116" s="12"/>
      <c r="J116" s="12"/>
      <c r="K116" s="35"/>
      <c r="L116" s="35"/>
      <c r="M116" s="35"/>
      <c r="N116" s="36"/>
      <c r="O116" s="36"/>
      <c r="P116" s="12"/>
      <c r="R116" s="23"/>
    </row>
    <row r="117" spans="1:18" ht="37.5" customHeight="1" x14ac:dyDescent="0.25">
      <c r="A117" s="12" t="s">
        <v>372</v>
      </c>
      <c r="B117" s="44" t="s">
        <v>259</v>
      </c>
      <c r="C117" s="12" t="s">
        <v>32</v>
      </c>
      <c r="D117" s="114">
        <v>0.4</v>
      </c>
      <c r="E117" s="35">
        <f>13000000*D117</f>
        <v>5200000</v>
      </c>
      <c r="F117" s="35">
        <f t="shared" ref="F117:F120" si="104">E117</f>
        <v>5200000</v>
      </c>
      <c r="G117" s="35">
        <f t="shared" ref="G117:G120" si="105">F117*13.8%</f>
        <v>717600.00000000012</v>
      </c>
      <c r="H117" s="36">
        <f t="shared" ref="H117:H120" si="106">F117+G117</f>
        <v>5917600</v>
      </c>
      <c r="I117" s="115">
        <v>0.2</v>
      </c>
      <c r="J117" s="115">
        <f t="shared" ref="J117:J126" si="107">D117-I117</f>
        <v>0.2</v>
      </c>
      <c r="K117" s="35">
        <f>I117*E117/D117</f>
        <v>2600000</v>
      </c>
      <c r="L117" s="35">
        <f t="shared" ref="L117:L120" si="108">K117*13.8%</f>
        <v>358800.00000000006</v>
      </c>
      <c r="M117" s="35">
        <f t="shared" ref="M117:M120" si="109">K117*10%</f>
        <v>260000</v>
      </c>
      <c r="N117" s="36">
        <f t="shared" ref="N117:N120" si="110">SUM(K117:L117)-M117</f>
        <v>2698800</v>
      </c>
      <c r="O117" s="36">
        <f t="shared" ref="O117:O120" si="111">J117*E117</f>
        <v>1040000</v>
      </c>
      <c r="P117" s="12"/>
      <c r="R117" s="23"/>
    </row>
    <row r="118" spans="1:18" ht="37.5" customHeight="1" x14ac:dyDescent="0.25">
      <c r="A118" s="12" t="s">
        <v>373</v>
      </c>
      <c r="B118" s="44" t="s">
        <v>280</v>
      </c>
      <c r="C118" s="12" t="s">
        <v>32</v>
      </c>
      <c r="D118" s="114">
        <v>0.1</v>
      </c>
      <c r="E118" s="35">
        <f t="shared" ref="E118:E120" si="112">13000000*D118</f>
        <v>1300000</v>
      </c>
      <c r="F118" s="35">
        <f t="shared" si="104"/>
        <v>1300000</v>
      </c>
      <c r="G118" s="35">
        <f t="shared" si="105"/>
        <v>179400.00000000003</v>
      </c>
      <c r="H118" s="36">
        <f t="shared" si="106"/>
        <v>1479400</v>
      </c>
      <c r="I118" s="115">
        <v>0</v>
      </c>
      <c r="J118" s="115">
        <f t="shared" si="107"/>
        <v>0.1</v>
      </c>
      <c r="K118" s="35">
        <f t="shared" ref="K118:K120" si="113">I118*E118/D118</f>
        <v>0</v>
      </c>
      <c r="L118" s="35">
        <f t="shared" si="108"/>
        <v>0</v>
      </c>
      <c r="M118" s="35">
        <f t="shared" si="109"/>
        <v>0</v>
      </c>
      <c r="N118" s="36">
        <f t="shared" si="110"/>
        <v>0</v>
      </c>
      <c r="O118" s="36">
        <f t="shared" si="111"/>
        <v>130000</v>
      </c>
      <c r="P118" s="12"/>
      <c r="R118" s="23"/>
    </row>
    <row r="119" spans="1:18" ht="37.5" customHeight="1" x14ac:dyDescent="0.25">
      <c r="A119" s="12" t="s">
        <v>374</v>
      </c>
      <c r="B119" s="44" t="s">
        <v>262</v>
      </c>
      <c r="C119" s="12" t="s">
        <v>32</v>
      </c>
      <c r="D119" s="114">
        <v>0.4</v>
      </c>
      <c r="E119" s="35">
        <f t="shared" si="112"/>
        <v>5200000</v>
      </c>
      <c r="F119" s="35">
        <f t="shared" si="104"/>
        <v>5200000</v>
      </c>
      <c r="G119" s="35">
        <f t="shared" si="105"/>
        <v>717600.00000000012</v>
      </c>
      <c r="H119" s="36">
        <f t="shared" si="106"/>
        <v>5917600</v>
      </c>
      <c r="I119" s="12"/>
      <c r="J119" s="115">
        <f t="shared" si="107"/>
        <v>0.4</v>
      </c>
      <c r="K119" s="35">
        <f t="shared" si="113"/>
        <v>0</v>
      </c>
      <c r="L119" s="35">
        <f t="shared" si="108"/>
        <v>0</v>
      </c>
      <c r="M119" s="35">
        <f t="shared" si="109"/>
        <v>0</v>
      </c>
      <c r="N119" s="36">
        <f t="shared" si="110"/>
        <v>0</v>
      </c>
      <c r="O119" s="36">
        <f t="shared" si="111"/>
        <v>2080000</v>
      </c>
      <c r="P119" s="12"/>
      <c r="R119" s="23"/>
    </row>
    <row r="120" spans="1:18" ht="37.5" customHeight="1" x14ac:dyDescent="0.25">
      <c r="A120" s="12" t="s">
        <v>375</v>
      </c>
      <c r="B120" s="44" t="s">
        <v>264</v>
      </c>
      <c r="C120" s="12" t="s">
        <v>32</v>
      </c>
      <c r="D120" s="114">
        <v>0.1</v>
      </c>
      <c r="E120" s="35">
        <f t="shared" si="112"/>
        <v>1300000</v>
      </c>
      <c r="F120" s="35">
        <f t="shared" si="104"/>
        <v>1300000</v>
      </c>
      <c r="G120" s="35">
        <f t="shared" si="105"/>
        <v>179400.00000000003</v>
      </c>
      <c r="H120" s="36">
        <f t="shared" si="106"/>
        <v>1479400</v>
      </c>
      <c r="I120" s="12"/>
      <c r="J120" s="115">
        <f t="shared" si="107"/>
        <v>0.1</v>
      </c>
      <c r="K120" s="35">
        <f t="shared" si="113"/>
        <v>0</v>
      </c>
      <c r="L120" s="35">
        <f t="shared" si="108"/>
        <v>0</v>
      </c>
      <c r="M120" s="35">
        <f t="shared" si="109"/>
        <v>0</v>
      </c>
      <c r="N120" s="36">
        <f t="shared" si="110"/>
        <v>0</v>
      </c>
      <c r="O120" s="36">
        <f t="shared" si="111"/>
        <v>130000</v>
      </c>
      <c r="P120" s="12"/>
      <c r="R120" s="23"/>
    </row>
    <row r="121" spans="1:18" ht="37.5" customHeight="1" x14ac:dyDescent="0.25">
      <c r="A121" s="12" t="s">
        <v>376</v>
      </c>
      <c r="B121" s="44" t="s">
        <v>377</v>
      </c>
      <c r="C121" s="12" t="s">
        <v>227</v>
      </c>
      <c r="D121" s="119">
        <v>6</v>
      </c>
      <c r="E121" s="35"/>
      <c r="F121" s="35"/>
      <c r="G121" s="35"/>
      <c r="H121" s="36"/>
      <c r="I121" s="12"/>
      <c r="J121" s="12"/>
      <c r="K121" s="35"/>
      <c r="L121" s="35"/>
      <c r="M121" s="35"/>
      <c r="N121" s="36"/>
      <c r="O121" s="36"/>
      <c r="P121" s="12"/>
      <c r="R121" s="23"/>
    </row>
    <row r="122" spans="1:18" ht="37.5" customHeight="1" x14ac:dyDescent="0.25">
      <c r="A122" s="12" t="s">
        <v>378</v>
      </c>
      <c r="B122" s="44" t="s">
        <v>280</v>
      </c>
      <c r="C122" s="12" t="s">
        <v>32</v>
      </c>
      <c r="D122" s="114">
        <v>0.5</v>
      </c>
      <c r="E122" s="35">
        <f>1200000*D122</f>
        <v>600000</v>
      </c>
      <c r="F122" s="35">
        <f t="shared" ref="F122:F123" si="114">E122</f>
        <v>600000</v>
      </c>
      <c r="G122" s="35">
        <f t="shared" ref="G122:G123" si="115">F122*13.8%</f>
        <v>82800</v>
      </c>
      <c r="H122" s="36">
        <f t="shared" ref="H122:H123" si="116">F122+G122</f>
        <v>682800</v>
      </c>
      <c r="I122" s="12"/>
      <c r="J122" s="115">
        <f t="shared" si="107"/>
        <v>0.5</v>
      </c>
      <c r="K122" s="35">
        <f t="shared" ref="K122:K123" si="117">I122*E122</f>
        <v>0</v>
      </c>
      <c r="L122" s="35">
        <f t="shared" ref="L122:L123" si="118">K122*13.8%</f>
        <v>0</v>
      </c>
      <c r="M122" s="35">
        <f t="shared" ref="M122:M123" si="119">K122*10%</f>
        <v>0</v>
      </c>
      <c r="N122" s="36">
        <f t="shared" ref="N122:N123" si="120">SUM(K122:L122)-M122</f>
        <v>0</v>
      </c>
      <c r="O122" s="36">
        <f t="shared" ref="O122:O123" si="121">J122*E122</f>
        <v>300000</v>
      </c>
      <c r="P122" s="12"/>
      <c r="R122" s="23"/>
    </row>
    <row r="123" spans="1:18" ht="37.5" customHeight="1" x14ac:dyDescent="0.25">
      <c r="A123" s="12" t="s">
        <v>379</v>
      </c>
      <c r="B123" s="44" t="s">
        <v>380</v>
      </c>
      <c r="C123" s="12" t="s">
        <v>32</v>
      </c>
      <c r="D123" s="114">
        <v>0.5</v>
      </c>
      <c r="E123" s="35">
        <f>1200000*D123</f>
        <v>600000</v>
      </c>
      <c r="F123" s="35">
        <f t="shared" si="114"/>
        <v>600000</v>
      </c>
      <c r="G123" s="35">
        <f t="shared" si="115"/>
        <v>82800</v>
      </c>
      <c r="H123" s="36">
        <f t="shared" si="116"/>
        <v>682800</v>
      </c>
      <c r="I123" s="12"/>
      <c r="J123" s="115">
        <f t="shared" si="107"/>
        <v>0.5</v>
      </c>
      <c r="K123" s="35">
        <f t="shared" si="117"/>
        <v>0</v>
      </c>
      <c r="L123" s="35">
        <f t="shared" si="118"/>
        <v>0</v>
      </c>
      <c r="M123" s="35">
        <f t="shared" si="119"/>
        <v>0</v>
      </c>
      <c r="N123" s="36">
        <f t="shared" si="120"/>
        <v>0</v>
      </c>
      <c r="O123" s="36">
        <f t="shared" si="121"/>
        <v>300000</v>
      </c>
      <c r="P123" s="12"/>
      <c r="R123" s="23"/>
    </row>
    <row r="124" spans="1:18" ht="72" customHeight="1" x14ac:dyDescent="0.25">
      <c r="A124" s="12" t="s">
        <v>381</v>
      </c>
      <c r="B124" s="44" t="s">
        <v>382</v>
      </c>
      <c r="C124" s="12" t="s">
        <v>21</v>
      </c>
      <c r="D124" s="119">
        <v>1</v>
      </c>
      <c r="E124" s="35"/>
      <c r="F124" s="35"/>
      <c r="G124" s="35"/>
      <c r="H124" s="36"/>
      <c r="I124" s="12"/>
      <c r="J124" s="12"/>
      <c r="K124" s="35"/>
      <c r="L124" s="35"/>
      <c r="M124" s="35"/>
      <c r="N124" s="36"/>
      <c r="O124" s="36"/>
      <c r="P124" s="12"/>
      <c r="R124" s="23"/>
    </row>
    <row r="125" spans="1:18" ht="37.5" customHeight="1" x14ac:dyDescent="0.25">
      <c r="A125" s="12" t="s">
        <v>383</v>
      </c>
      <c r="B125" s="44" t="s">
        <v>384</v>
      </c>
      <c r="C125" s="12" t="s">
        <v>32</v>
      </c>
      <c r="D125" s="119">
        <v>80</v>
      </c>
      <c r="E125" s="35">
        <f>10144869/D125</f>
        <v>126810.8625</v>
      </c>
      <c r="F125" s="35">
        <f t="shared" ref="F125" si="122">D125*E125</f>
        <v>10144869</v>
      </c>
      <c r="G125" s="35">
        <f t="shared" ref="G125:G126" si="123">F125*13.8%</f>
        <v>1399991.922</v>
      </c>
      <c r="H125" s="36">
        <f t="shared" ref="H125:H126" si="124">F125+G125</f>
        <v>11544860.922</v>
      </c>
      <c r="I125" s="12">
        <f>26+15+9</f>
        <v>50</v>
      </c>
      <c r="J125" s="120">
        <f t="shared" si="107"/>
        <v>30</v>
      </c>
      <c r="K125" s="35">
        <f t="shared" ref="K125:K126" si="125">I125*E125</f>
        <v>6340543.125</v>
      </c>
      <c r="L125" s="35">
        <f t="shared" ref="L125:L126" si="126">K125*13.8%</f>
        <v>874994.95125000004</v>
      </c>
      <c r="M125" s="35">
        <f t="shared" ref="M125:M126" si="127">K125*10%</f>
        <v>634054.3125</v>
      </c>
      <c r="N125" s="36">
        <f t="shared" ref="N125:N126" si="128">SUM(K125:L125)-M125</f>
        <v>6581483.7637499999</v>
      </c>
      <c r="O125" s="36">
        <f t="shared" ref="O125:O126" si="129">J125*E125</f>
        <v>3804325.875</v>
      </c>
      <c r="P125" s="12"/>
      <c r="R125" s="23"/>
    </row>
    <row r="126" spans="1:18" ht="37.5" customHeight="1" x14ac:dyDescent="0.25">
      <c r="A126" s="12" t="s">
        <v>385</v>
      </c>
      <c r="B126" s="44" t="s">
        <v>386</v>
      </c>
      <c r="C126" s="12" t="s">
        <v>32</v>
      </c>
      <c r="D126" s="119">
        <v>20</v>
      </c>
      <c r="E126" s="35">
        <f>2636217/D126</f>
        <v>131810.85</v>
      </c>
      <c r="F126" s="35">
        <f t="shared" ref="F126" si="130">E126</f>
        <v>131810.85</v>
      </c>
      <c r="G126" s="35">
        <f t="shared" si="123"/>
        <v>18189.897300000001</v>
      </c>
      <c r="H126" s="36">
        <f t="shared" si="124"/>
        <v>150000.74730000002</v>
      </c>
      <c r="I126" s="12"/>
      <c r="J126" s="120">
        <f t="shared" si="107"/>
        <v>20</v>
      </c>
      <c r="K126" s="35">
        <f t="shared" si="125"/>
        <v>0</v>
      </c>
      <c r="L126" s="35">
        <f t="shared" si="126"/>
        <v>0</v>
      </c>
      <c r="M126" s="35">
        <f t="shared" si="127"/>
        <v>0</v>
      </c>
      <c r="N126" s="36">
        <f t="shared" si="128"/>
        <v>0</v>
      </c>
      <c r="O126" s="36">
        <f t="shared" si="129"/>
        <v>2636217</v>
      </c>
      <c r="P126" s="12"/>
      <c r="R126" s="23"/>
    </row>
    <row r="127" spans="1:18" ht="87" customHeight="1" x14ac:dyDescent="0.25">
      <c r="A127" s="104" t="s">
        <v>387</v>
      </c>
      <c r="B127" s="111" t="s">
        <v>388</v>
      </c>
      <c r="C127" s="41" t="s">
        <v>224</v>
      </c>
      <c r="D127" s="41">
        <v>1</v>
      </c>
      <c r="E127" s="42">
        <v>23861215</v>
      </c>
      <c r="F127" s="42"/>
      <c r="G127" s="35"/>
      <c r="H127" s="36"/>
      <c r="I127" s="12"/>
      <c r="J127" s="12"/>
      <c r="K127" s="35"/>
      <c r="L127" s="35"/>
      <c r="M127" s="35"/>
      <c r="N127" s="36"/>
      <c r="O127" s="36"/>
      <c r="P127" s="12"/>
      <c r="R127" s="23"/>
    </row>
    <row r="128" spans="1:18" ht="87" customHeight="1" x14ac:dyDescent="0.25">
      <c r="A128" s="12" t="s">
        <v>389</v>
      </c>
      <c r="B128" s="44" t="s">
        <v>390</v>
      </c>
      <c r="C128" s="12" t="s">
        <v>391</v>
      </c>
      <c r="D128" s="114">
        <v>1</v>
      </c>
      <c r="E128" s="35"/>
      <c r="F128" s="35"/>
      <c r="G128" s="35"/>
      <c r="H128" s="36"/>
      <c r="I128" s="12"/>
      <c r="J128" s="12"/>
      <c r="K128" s="35"/>
      <c r="L128" s="35"/>
      <c r="M128" s="35"/>
      <c r="N128" s="36"/>
      <c r="O128" s="36"/>
      <c r="P128" s="12"/>
      <c r="R128" s="23"/>
    </row>
    <row r="129" spans="1:18" ht="87" customHeight="1" x14ac:dyDescent="0.25">
      <c r="A129" s="12" t="s">
        <v>392</v>
      </c>
      <c r="B129" s="44" t="s">
        <v>280</v>
      </c>
      <c r="C129" s="12"/>
      <c r="D129" s="114">
        <v>0.05</v>
      </c>
      <c r="E129" s="35">
        <f>13500000*D129</f>
        <v>675000</v>
      </c>
      <c r="F129" s="35">
        <f t="shared" ref="F129:F136" si="131">E129</f>
        <v>675000</v>
      </c>
      <c r="G129" s="35">
        <f t="shared" ref="G129:G137" si="132">F129*13.8%</f>
        <v>93150.000000000015</v>
      </c>
      <c r="H129" s="36">
        <f t="shared" ref="H129:H137" si="133">F129+G129</f>
        <v>768150</v>
      </c>
      <c r="I129" s="115">
        <v>0.05</v>
      </c>
      <c r="J129" s="115">
        <f t="shared" ref="J129:J137" si="134">D129-I129</f>
        <v>0</v>
      </c>
      <c r="K129" s="35">
        <f>E129</f>
        <v>675000</v>
      </c>
      <c r="L129" s="35">
        <f t="shared" ref="L129:L137" si="135">K129*13.8%</f>
        <v>93150.000000000015</v>
      </c>
      <c r="M129" s="35">
        <f t="shared" ref="M129:M137" si="136">K129*10%</f>
        <v>67500</v>
      </c>
      <c r="N129" s="36">
        <f t="shared" ref="N129:N137" si="137">SUM(K129:L129)-M129</f>
        <v>700650</v>
      </c>
      <c r="O129" s="36">
        <f t="shared" ref="O129:O137" si="138">J129*E129</f>
        <v>0</v>
      </c>
      <c r="P129" s="12"/>
      <c r="R129" s="23"/>
    </row>
    <row r="130" spans="1:18" ht="87" customHeight="1" x14ac:dyDescent="0.25">
      <c r="A130" s="12" t="s">
        <v>393</v>
      </c>
      <c r="B130" s="44" t="s">
        <v>355</v>
      </c>
      <c r="C130" s="12"/>
      <c r="D130" s="114">
        <v>0.15</v>
      </c>
      <c r="E130" s="35">
        <f t="shared" ref="E130:E136" si="139">13500000*D130</f>
        <v>2025000</v>
      </c>
      <c r="F130" s="35">
        <f t="shared" si="131"/>
        <v>2025000</v>
      </c>
      <c r="G130" s="35">
        <f t="shared" si="132"/>
        <v>279450</v>
      </c>
      <c r="H130" s="36">
        <f t="shared" si="133"/>
        <v>2304450</v>
      </c>
      <c r="I130" s="115">
        <v>0.15</v>
      </c>
      <c r="J130" s="115">
        <f t="shared" si="134"/>
        <v>0</v>
      </c>
      <c r="K130" s="35">
        <f t="shared" ref="K130:K132" si="140">E130</f>
        <v>2025000</v>
      </c>
      <c r="L130" s="35">
        <f t="shared" si="135"/>
        <v>279450</v>
      </c>
      <c r="M130" s="35">
        <f t="shared" si="136"/>
        <v>202500</v>
      </c>
      <c r="N130" s="36">
        <f t="shared" si="137"/>
        <v>2101950</v>
      </c>
      <c r="O130" s="36">
        <f t="shared" si="138"/>
        <v>0</v>
      </c>
      <c r="P130" s="12"/>
      <c r="R130" s="23"/>
    </row>
    <row r="131" spans="1:18" ht="87" customHeight="1" x14ac:dyDescent="0.25">
      <c r="A131" s="12" t="s">
        <v>394</v>
      </c>
      <c r="B131" s="44" t="s">
        <v>357</v>
      </c>
      <c r="C131" s="12"/>
      <c r="D131" s="114">
        <v>0.1</v>
      </c>
      <c r="E131" s="35">
        <f t="shared" si="139"/>
        <v>1350000</v>
      </c>
      <c r="F131" s="35">
        <f t="shared" si="131"/>
        <v>1350000</v>
      </c>
      <c r="G131" s="35">
        <f t="shared" si="132"/>
        <v>186300.00000000003</v>
      </c>
      <c r="H131" s="36">
        <f t="shared" si="133"/>
        <v>1536300</v>
      </c>
      <c r="I131" s="115">
        <v>0.1</v>
      </c>
      <c r="J131" s="115">
        <f t="shared" si="134"/>
        <v>0</v>
      </c>
      <c r="K131" s="35">
        <f t="shared" si="140"/>
        <v>1350000</v>
      </c>
      <c r="L131" s="35">
        <f t="shared" si="135"/>
        <v>186300.00000000003</v>
      </c>
      <c r="M131" s="35">
        <f t="shared" si="136"/>
        <v>135000</v>
      </c>
      <c r="N131" s="36">
        <f t="shared" si="137"/>
        <v>1401300</v>
      </c>
      <c r="O131" s="36">
        <f t="shared" si="138"/>
        <v>0</v>
      </c>
      <c r="P131" s="12"/>
      <c r="R131" s="23"/>
    </row>
    <row r="132" spans="1:18" ht="87" customHeight="1" x14ac:dyDescent="0.25">
      <c r="A132" s="12" t="s">
        <v>395</v>
      </c>
      <c r="B132" s="44" t="s">
        <v>359</v>
      </c>
      <c r="C132" s="12"/>
      <c r="D132" s="114">
        <v>0.15</v>
      </c>
      <c r="E132" s="35">
        <f t="shared" si="139"/>
        <v>2025000</v>
      </c>
      <c r="F132" s="35">
        <f t="shared" si="131"/>
        <v>2025000</v>
      </c>
      <c r="G132" s="35">
        <f t="shared" si="132"/>
        <v>279450</v>
      </c>
      <c r="H132" s="36">
        <f t="shared" si="133"/>
        <v>2304450</v>
      </c>
      <c r="I132" s="115">
        <v>0.15</v>
      </c>
      <c r="J132" s="115">
        <f t="shared" si="134"/>
        <v>0</v>
      </c>
      <c r="K132" s="35">
        <f t="shared" si="140"/>
        <v>2025000</v>
      </c>
      <c r="L132" s="35">
        <f t="shared" si="135"/>
        <v>279450</v>
      </c>
      <c r="M132" s="35">
        <f t="shared" si="136"/>
        <v>202500</v>
      </c>
      <c r="N132" s="36">
        <f t="shared" si="137"/>
        <v>2101950</v>
      </c>
      <c r="O132" s="36">
        <f t="shared" si="138"/>
        <v>0</v>
      </c>
      <c r="P132" s="12"/>
      <c r="R132" s="23"/>
    </row>
    <row r="133" spans="1:18" ht="87" customHeight="1" x14ac:dyDescent="0.25">
      <c r="A133" s="12" t="s">
        <v>396</v>
      </c>
      <c r="B133" s="44" t="s">
        <v>361</v>
      </c>
      <c r="C133" s="12"/>
      <c r="D133" s="114">
        <v>0.2</v>
      </c>
      <c r="E133" s="35">
        <f t="shared" si="139"/>
        <v>2700000</v>
      </c>
      <c r="F133" s="35">
        <f t="shared" si="131"/>
        <v>2700000</v>
      </c>
      <c r="G133" s="35">
        <f t="shared" si="132"/>
        <v>372600.00000000006</v>
      </c>
      <c r="H133" s="36">
        <f t="shared" si="133"/>
        <v>3072600</v>
      </c>
      <c r="I133" s="115">
        <v>0.2</v>
      </c>
      <c r="J133" s="115">
        <f t="shared" si="134"/>
        <v>0</v>
      </c>
      <c r="K133" s="35">
        <f>E133*I133/D133</f>
        <v>2700000</v>
      </c>
      <c r="L133" s="35">
        <f t="shared" si="135"/>
        <v>372600.00000000006</v>
      </c>
      <c r="M133" s="35">
        <f t="shared" si="136"/>
        <v>270000</v>
      </c>
      <c r="N133" s="36">
        <f t="shared" si="137"/>
        <v>2802600</v>
      </c>
      <c r="O133" s="36">
        <f t="shared" si="138"/>
        <v>0</v>
      </c>
      <c r="P133" s="12"/>
      <c r="R133" s="23"/>
    </row>
    <row r="134" spans="1:18" ht="87" customHeight="1" x14ac:dyDescent="0.25">
      <c r="A134" s="12" t="s">
        <v>397</v>
      </c>
      <c r="B134" s="44" t="s">
        <v>363</v>
      </c>
      <c r="C134" s="12"/>
      <c r="D134" s="114">
        <v>0.05</v>
      </c>
      <c r="E134" s="35">
        <f t="shared" si="139"/>
        <v>675000</v>
      </c>
      <c r="F134" s="35">
        <f t="shared" si="131"/>
        <v>675000</v>
      </c>
      <c r="G134" s="35">
        <f t="shared" si="132"/>
        <v>93150.000000000015</v>
      </c>
      <c r="H134" s="36">
        <f t="shared" si="133"/>
        <v>768150</v>
      </c>
      <c r="I134" s="115">
        <v>0.05</v>
      </c>
      <c r="J134" s="115">
        <f t="shared" si="134"/>
        <v>0</v>
      </c>
      <c r="K134" s="35">
        <f>E134*I134/D134</f>
        <v>675000</v>
      </c>
      <c r="L134" s="35">
        <f t="shared" si="135"/>
        <v>93150.000000000015</v>
      </c>
      <c r="M134" s="35">
        <f t="shared" si="136"/>
        <v>67500</v>
      </c>
      <c r="N134" s="36">
        <f t="shared" si="137"/>
        <v>700650</v>
      </c>
      <c r="O134" s="36">
        <f t="shared" si="138"/>
        <v>0</v>
      </c>
      <c r="P134" s="12"/>
      <c r="R134" s="23"/>
    </row>
    <row r="135" spans="1:18" ht="87" customHeight="1" x14ac:dyDescent="0.25">
      <c r="A135" s="12" t="s">
        <v>398</v>
      </c>
      <c r="B135" s="44" t="s">
        <v>365</v>
      </c>
      <c r="C135" s="12"/>
      <c r="D135" s="114">
        <v>0.15</v>
      </c>
      <c r="E135" s="35">
        <f t="shared" si="139"/>
        <v>2025000</v>
      </c>
      <c r="F135" s="35">
        <f t="shared" si="131"/>
        <v>2025000</v>
      </c>
      <c r="G135" s="35">
        <f t="shared" si="132"/>
        <v>279450</v>
      </c>
      <c r="H135" s="36">
        <f t="shared" si="133"/>
        <v>2304450</v>
      </c>
      <c r="I135" s="115">
        <f>5%+10%</f>
        <v>0.15000000000000002</v>
      </c>
      <c r="J135" s="115">
        <f t="shared" si="134"/>
        <v>0</v>
      </c>
      <c r="K135" s="35">
        <f>E135*I135/D135</f>
        <v>2025000.0000000005</v>
      </c>
      <c r="L135" s="35">
        <f t="shared" si="135"/>
        <v>279450.00000000012</v>
      </c>
      <c r="M135" s="35">
        <f t="shared" si="136"/>
        <v>202500.00000000006</v>
      </c>
      <c r="N135" s="36">
        <f t="shared" si="137"/>
        <v>2101950.0000000005</v>
      </c>
      <c r="O135" s="36">
        <f t="shared" si="138"/>
        <v>0</v>
      </c>
      <c r="P135" s="12"/>
      <c r="R135" s="23"/>
    </row>
    <row r="136" spans="1:18" ht="87" customHeight="1" x14ac:dyDescent="0.25">
      <c r="A136" s="12" t="s">
        <v>399</v>
      </c>
      <c r="B136" s="44" t="s">
        <v>367</v>
      </c>
      <c r="C136" s="12"/>
      <c r="D136" s="114">
        <v>0.15</v>
      </c>
      <c r="E136" s="35">
        <f t="shared" si="139"/>
        <v>2025000</v>
      </c>
      <c r="F136" s="35">
        <f t="shared" si="131"/>
        <v>2025000</v>
      </c>
      <c r="G136" s="35">
        <f t="shared" si="132"/>
        <v>279450</v>
      </c>
      <c r="H136" s="36">
        <f t="shared" si="133"/>
        <v>2304450</v>
      </c>
      <c r="I136" s="115"/>
      <c r="J136" s="115">
        <f t="shared" si="134"/>
        <v>0.15</v>
      </c>
      <c r="K136" s="35">
        <f>E136*I136/D136</f>
        <v>0</v>
      </c>
      <c r="L136" s="35">
        <f t="shared" si="135"/>
        <v>0</v>
      </c>
      <c r="M136" s="35">
        <f t="shared" si="136"/>
        <v>0</v>
      </c>
      <c r="N136" s="36">
        <f t="shared" si="137"/>
        <v>0</v>
      </c>
      <c r="O136" s="36">
        <f t="shared" si="138"/>
        <v>303750</v>
      </c>
      <c r="P136" s="12"/>
      <c r="R136" s="23"/>
    </row>
    <row r="137" spans="1:18" ht="87" customHeight="1" x14ac:dyDescent="0.25">
      <c r="A137" s="12" t="s">
        <v>400</v>
      </c>
      <c r="B137" s="44" t="s">
        <v>401</v>
      </c>
      <c r="C137" s="12" t="s">
        <v>26</v>
      </c>
      <c r="D137" s="119">
        <v>1</v>
      </c>
      <c r="E137" s="35">
        <v>1500000</v>
      </c>
      <c r="F137" s="35">
        <f>E137*D137</f>
        <v>1500000</v>
      </c>
      <c r="G137" s="35">
        <f t="shared" si="132"/>
        <v>207000.00000000003</v>
      </c>
      <c r="H137" s="36">
        <f t="shared" si="133"/>
        <v>1707000</v>
      </c>
      <c r="I137" s="12"/>
      <c r="J137" s="120">
        <f t="shared" si="134"/>
        <v>1</v>
      </c>
      <c r="K137" s="35">
        <f t="shared" ref="K137" si="141">I137*E137</f>
        <v>0</v>
      </c>
      <c r="L137" s="35">
        <f t="shared" si="135"/>
        <v>0</v>
      </c>
      <c r="M137" s="35">
        <f t="shared" si="136"/>
        <v>0</v>
      </c>
      <c r="N137" s="36">
        <f t="shared" si="137"/>
        <v>0</v>
      </c>
      <c r="O137" s="36">
        <f t="shared" si="138"/>
        <v>1500000</v>
      </c>
      <c r="P137" s="12"/>
      <c r="R137" s="23"/>
    </row>
    <row r="138" spans="1:18" x14ac:dyDescent="0.25">
      <c r="A138" s="12"/>
      <c r="B138" s="44"/>
      <c r="C138" s="12"/>
      <c r="D138" s="119"/>
      <c r="E138" s="35"/>
      <c r="F138" s="35"/>
      <c r="G138" s="35"/>
      <c r="H138" s="36"/>
      <c r="I138" s="12"/>
      <c r="J138" s="120"/>
      <c r="K138" s="35"/>
      <c r="L138" s="35"/>
      <c r="M138" s="35"/>
      <c r="N138" s="36"/>
      <c r="O138" s="36"/>
      <c r="P138" s="12"/>
      <c r="R138" s="23"/>
    </row>
    <row r="139" spans="1:18" ht="87" customHeight="1" x14ac:dyDescent="0.25">
      <c r="A139" s="12" t="s">
        <v>402</v>
      </c>
      <c r="B139" s="44" t="s">
        <v>403</v>
      </c>
      <c r="C139" s="12" t="s">
        <v>26</v>
      </c>
      <c r="D139" s="119">
        <v>1</v>
      </c>
      <c r="E139" s="35">
        <v>2500000</v>
      </c>
      <c r="F139" s="35">
        <f>E139*D139</f>
        <v>2500000</v>
      </c>
      <c r="G139" s="35">
        <f t="shared" ref="G139" si="142">F139*13.8%</f>
        <v>345000</v>
      </c>
      <c r="H139" s="36">
        <f t="shared" ref="H139" si="143">F139+G139</f>
        <v>2845000</v>
      </c>
      <c r="I139" s="12"/>
      <c r="J139" s="120">
        <f t="shared" ref="J139" si="144">D139-I139</f>
        <v>1</v>
      </c>
      <c r="K139" s="35">
        <f t="shared" ref="K139" si="145">I139*E139</f>
        <v>0</v>
      </c>
      <c r="L139" s="35">
        <f t="shared" ref="L139" si="146">K139*13.8%</f>
        <v>0</v>
      </c>
      <c r="M139" s="35">
        <f t="shared" ref="M139" si="147">K139*10%</f>
        <v>0</v>
      </c>
      <c r="N139" s="36">
        <f t="shared" ref="N139" si="148">SUM(K139:L139)-M139</f>
        <v>0</v>
      </c>
      <c r="O139" s="36">
        <f t="shared" ref="O139" si="149">J139*E139</f>
        <v>2500000</v>
      </c>
      <c r="P139" s="12"/>
      <c r="R139" s="23"/>
    </row>
    <row r="140" spans="1:18" x14ac:dyDescent="0.25">
      <c r="A140" s="12"/>
      <c r="B140" s="44"/>
      <c r="C140" s="12"/>
      <c r="D140" s="119"/>
      <c r="E140" s="35"/>
      <c r="F140" s="35"/>
      <c r="G140" s="35"/>
      <c r="H140" s="36"/>
      <c r="I140" s="12"/>
      <c r="J140" s="120"/>
      <c r="K140" s="35"/>
      <c r="L140" s="35"/>
      <c r="M140" s="35"/>
      <c r="N140" s="36"/>
      <c r="O140" s="36"/>
      <c r="P140" s="12"/>
      <c r="R140" s="23"/>
    </row>
    <row r="141" spans="1:18" ht="87" customHeight="1" x14ac:dyDescent="0.25">
      <c r="A141" s="12" t="s">
        <v>404</v>
      </c>
      <c r="B141" s="44" t="s">
        <v>405</v>
      </c>
      <c r="C141" s="12" t="s">
        <v>214</v>
      </c>
      <c r="D141" s="119">
        <v>1</v>
      </c>
      <c r="E141" s="35">
        <v>1000000</v>
      </c>
      <c r="F141" s="35">
        <f>E141*D141</f>
        <v>1000000</v>
      </c>
      <c r="G141" s="35">
        <f t="shared" ref="G141" si="150">F141*13.8%</f>
        <v>138000</v>
      </c>
      <c r="H141" s="36">
        <f t="shared" ref="H141" si="151">F141+G141</f>
        <v>1138000</v>
      </c>
      <c r="I141" s="12"/>
      <c r="J141" s="120">
        <f t="shared" ref="J141" si="152">D141-I141</f>
        <v>1</v>
      </c>
      <c r="K141" s="35">
        <f t="shared" ref="K141" si="153">I141*E141</f>
        <v>0</v>
      </c>
      <c r="L141" s="35">
        <f t="shared" ref="L141" si="154">K141*13.8%</f>
        <v>0</v>
      </c>
      <c r="M141" s="35">
        <f t="shared" ref="M141" si="155">K141*10%</f>
        <v>0</v>
      </c>
      <c r="N141" s="36">
        <f t="shared" ref="N141" si="156">SUM(K141:L141)-M141</f>
        <v>0</v>
      </c>
      <c r="O141" s="36">
        <f t="shared" ref="O141" si="157">J141*E141</f>
        <v>1000000</v>
      </c>
      <c r="P141" s="12"/>
      <c r="R141" s="23"/>
    </row>
    <row r="142" spans="1:18" x14ac:dyDescent="0.25">
      <c r="A142" s="12"/>
      <c r="B142" s="44"/>
      <c r="C142" s="12"/>
      <c r="D142" s="119"/>
      <c r="E142" s="35"/>
      <c r="F142" s="35"/>
      <c r="G142" s="35"/>
      <c r="H142" s="36"/>
      <c r="I142" s="12"/>
      <c r="J142" s="120"/>
      <c r="K142" s="35"/>
      <c r="L142" s="35"/>
      <c r="M142" s="35"/>
      <c r="N142" s="36"/>
      <c r="O142" s="36"/>
      <c r="P142" s="12"/>
      <c r="R142" s="23"/>
    </row>
    <row r="143" spans="1:18" ht="87" customHeight="1" x14ac:dyDescent="0.25">
      <c r="A143" s="12" t="s">
        <v>406</v>
      </c>
      <c r="B143" s="44" t="s">
        <v>407</v>
      </c>
      <c r="C143" s="12" t="s">
        <v>214</v>
      </c>
      <c r="D143" s="119">
        <v>2</v>
      </c>
      <c r="E143" s="35">
        <v>500000</v>
      </c>
      <c r="F143" s="35">
        <f>E143*D143</f>
        <v>1000000</v>
      </c>
      <c r="G143" s="35">
        <f t="shared" ref="G143" si="158">F143*13.8%</f>
        <v>138000</v>
      </c>
      <c r="H143" s="36">
        <f t="shared" ref="H143" si="159">F143+G143</f>
        <v>1138000</v>
      </c>
      <c r="I143" s="12"/>
      <c r="J143" s="120">
        <f t="shared" ref="J143" si="160">D143-I143</f>
        <v>2</v>
      </c>
      <c r="K143" s="35">
        <f t="shared" ref="K143" si="161">I143*E143</f>
        <v>0</v>
      </c>
      <c r="L143" s="35">
        <f t="shared" ref="L143" si="162">K143*13.8%</f>
        <v>0</v>
      </c>
      <c r="M143" s="35">
        <f t="shared" ref="M143" si="163">K143*10%</f>
        <v>0</v>
      </c>
      <c r="N143" s="36">
        <f t="shared" ref="N143" si="164">SUM(K143:L143)-M143</f>
        <v>0</v>
      </c>
      <c r="O143" s="36">
        <f t="shared" ref="O143" si="165">J143*E143</f>
        <v>1000000</v>
      </c>
      <c r="P143" s="12"/>
      <c r="R143" s="23"/>
    </row>
    <row r="144" spans="1:18" x14ac:dyDescent="0.25">
      <c r="A144" s="12"/>
      <c r="B144" s="44"/>
      <c r="C144" s="12"/>
      <c r="D144" s="119"/>
      <c r="E144" s="35"/>
      <c r="F144" s="35"/>
      <c r="G144" s="35"/>
      <c r="H144" s="36"/>
      <c r="I144" s="12"/>
      <c r="J144" s="120"/>
      <c r="K144" s="35"/>
      <c r="L144" s="35"/>
      <c r="M144" s="35"/>
      <c r="N144" s="36"/>
      <c r="O144" s="36"/>
      <c r="P144" s="12"/>
      <c r="R144" s="23"/>
    </row>
    <row r="145" spans="1:18" ht="87" customHeight="1" x14ac:dyDescent="0.25">
      <c r="A145" s="12" t="s">
        <v>408</v>
      </c>
      <c r="B145" s="44" t="s">
        <v>409</v>
      </c>
      <c r="C145" s="12" t="s">
        <v>214</v>
      </c>
      <c r="D145" s="119">
        <v>1</v>
      </c>
      <c r="E145" s="35">
        <v>1000000</v>
      </c>
      <c r="F145" s="35">
        <f>E145*D145</f>
        <v>1000000</v>
      </c>
      <c r="G145" s="35">
        <f t="shared" ref="G145" si="166">F145*13.8%</f>
        <v>138000</v>
      </c>
      <c r="H145" s="36">
        <f t="shared" ref="H145" si="167">F145+G145</f>
        <v>1138000</v>
      </c>
      <c r="I145" s="12"/>
      <c r="J145" s="120">
        <f t="shared" ref="J145" si="168">D145-I145</f>
        <v>1</v>
      </c>
      <c r="K145" s="35">
        <f t="shared" ref="K145" si="169">I145*E145</f>
        <v>0</v>
      </c>
      <c r="L145" s="35">
        <f t="shared" ref="L145" si="170">K145*13.8%</f>
        <v>0</v>
      </c>
      <c r="M145" s="35">
        <f t="shared" ref="M145" si="171">K145*10%</f>
        <v>0</v>
      </c>
      <c r="N145" s="36">
        <f t="shared" ref="N145" si="172">SUM(K145:L145)-M145</f>
        <v>0</v>
      </c>
      <c r="O145" s="36">
        <f t="shared" ref="O145" si="173">J145*E145</f>
        <v>1000000</v>
      </c>
      <c r="P145" s="12"/>
      <c r="R145" s="23"/>
    </row>
    <row r="146" spans="1:18" x14ac:dyDescent="0.25">
      <c r="A146" s="12"/>
      <c r="B146" s="44"/>
      <c r="C146" s="12"/>
      <c r="D146" s="119"/>
      <c r="E146" s="35"/>
      <c r="F146" s="42"/>
      <c r="G146" s="35"/>
      <c r="H146" s="36"/>
      <c r="I146" s="12"/>
      <c r="J146" s="121"/>
      <c r="K146" s="35"/>
      <c r="L146" s="35"/>
      <c r="M146" s="35"/>
      <c r="N146" s="36"/>
      <c r="O146" s="36"/>
      <c r="P146" s="12"/>
      <c r="R146" s="23"/>
    </row>
    <row r="147" spans="1:18" ht="87" customHeight="1" x14ac:dyDescent="0.25">
      <c r="A147" s="12" t="s">
        <v>410</v>
      </c>
      <c r="B147" s="44" t="s">
        <v>411</v>
      </c>
      <c r="C147" s="12" t="s">
        <v>214</v>
      </c>
      <c r="D147" s="119">
        <v>2</v>
      </c>
      <c r="E147" s="35">
        <v>750000</v>
      </c>
      <c r="F147" s="35">
        <f>E147*D147</f>
        <v>1500000</v>
      </c>
      <c r="G147" s="35">
        <f t="shared" ref="G147" si="174">F147*13.8%</f>
        <v>207000.00000000003</v>
      </c>
      <c r="H147" s="36">
        <f t="shared" ref="H147" si="175">F147+G147</f>
        <v>1707000</v>
      </c>
      <c r="I147" s="12"/>
      <c r="J147" s="120">
        <f t="shared" ref="J147" si="176">D147-I147</f>
        <v>2</v>
      </c>
      <c r="K147" s="35">
        <f t="shared" ref="K147" si="177">I147*E147</f>
        <v>0</v>
      </c>
      <c r="L147" s="35">
        <f t="shared" ref="L147" si="178">K147*13.8%</f>
        <v>0</v>
      </c>
      <c r="M147" s="35">
        <f t="shared" ref="M147" si="179">K147*10%</f>
        <v>0</v>
      </c>
      <c r="N147" s="36">
        <f t="shared" ref="N147" si="180">SUM(K147:L147)-M147</f>
        <v>0</v>
      </c>
      <c r="O147" s="36">
        <f t="shared" ref="O147" si="181">J147*E147</f>
        <v>1500000</v>
      </c>
      <c r="P147" s="12"/>
      <c r="R147" s="23"/>
    </row>
    <row r="148" spans="1:18" x14ac:dyDescent="0.25">
      <c r="A148" s="12"/>
      <c r="B148" s="44"/>
      <c r="C148" s="12"/>
      <c r="D148" s="114"/>
      <c r="E148" s="35"/>
      <c r="F148" s="42"/>
      <c r="G148" s="35"/>
      <c r="H148" s="36"/>
      <c r="I148" s="12"/>
      <c r="J148" s="121"/>
      <c r="K148" s="35"/>
      <c r="L148" s="35"/>
      <c r="M148" s="35"/>
      <c r="N148" s="36"/>
      <c r="O148" s="36"/>
      <c r="P148" s="12"/>
      <c r="R148" s="23"/>
    </row>
    <row r="149" spans="1:18" ht="87" customHeight="1" x14ac:dyDescent="0.25">
      <c r="A149" s="12" t="s">
        <v>412</v>
      </c>
      <c r="B149" s="44" t="s">
        <v>413</v>
      </c>
      <c r="C149" s="12" t="s">
        <v>26</v>
      </c>
      <c r="D149" s="119">
        <v>1</v>
      </c>
      <c r="E149" s="35">
        <v>1861215</v>
      </c>
      <c r="F149" s="35">
        <f>E149*D149</f>
        <v>1861215</v>
      </c>
      <c r="G149" s="35">
        <f t="shared" ref="G149" si="182">F149*13.8%</f>
        <v>256847.67</v>
      </c>
      <c r="H149" s="36">
        <f t="shared" ref="H149" si="183">F149+G149</f>
        <v>2118062.67</v>
      </c>
      <c r="I149" s="12"/>
      <c r="J149" s="120">
        <f t="shared" ref="J149" si="184">D149-I149</f>
        <v>1</v>
      </c>
      <c r="K149" s="35">
        <f t="shared" ref="K149" si="185">I149*E149</f>
        <v>0</v>
      </c>
      <c r="L149" s="35">
        <f t="shared" ref="L149" si="186">K149*13.8%</f>
        <v>0</v>
      </c>
      <c r="M149" s="35">
        <f t="shared" ref="M149" si="187">K149*10%</f>
        <v>0</v>
      </c>
      <c r="N149" s="36">
        <f t="shared" ref="N149" si="188">SUM(K149:L149)-M149</f>
        <v>0</v>
      </c>
      <c r="O149" s="36">
        <f t="shared" ref="O149" si="189">J149*E149</f>
        <v>1861215</v>
      </c>
      <c r="P149" s="12"/>
      <c r="R149" s="23"/>
    </row>
    <row r="150" spans="1:18" x14ac:dyDescent="0.25">
      <c r="A150" s="12"/>
      <c r="B150" s="44"/>
      <c r="C150" s="12"/>
      <c r="D150" s="119"/>
      <c r="E150" s="35"/>
      <c r="F150" s="35"/>
      <c r="G150" s="35"/>
      <c r="H150" s="36"/>
      <c r="I150" s="12"/>
      <c r="J150" s="115"/>
      <c r="K150" s="35"/>
      <c r="L150" s="35"/>
      <c r="M150" s="35"/>
      <c r="N150" s="36"/>
      <c r="O150" s="36"/>
      <c r="P150" s="12"/>
      <c r="R150" s="23"/>
    </row>
    <row r="151" spans="1:18" ht="61.5" customHeight="1" x14ac:dyDescent="0.25">
      <c r="A151" s="12" t="s">
        <v>65</v>
      </c>
      <c r="B151" s="46" t="s">
        <v>157</v>
      </c>
      <c r="C151" s="44"/>
      <c r="D151" s="47"/>
      <c r="E151" s="47"/>
      <c r="F151" s="47"/>
      <c r="G151" s="47"/>
      <c r="H151" s="122"/>
      <c r="I151" s="12"/>
      <c r="J151" s="12">
        <f t="shared" ref="J151" si="190">D151-I151</f>
        <v>0</v>
      </c>
      <c r="K151" s="35"/>
      <c r="L151" s="35"/>
      <c r="M151" s="35"/>
      <c r="N151" s="36"/>
      <c r="O151" s="36">
        <f t="shared" ref="O151" si="191">J151*E151</f>
        <v>0</v>
      </c>
      <c r="P151" s="12"/>
    </row>
    <row r="152" spans="1:18" ht="61.5" customHeight="1" x14ac:dyDescent="0.25">
      <c r="A152" s="12" t="s">
        <v>158</v>
      </c>
      <c r="B152" s="46" t="s">
        <v>159</v>
      </c>
      <c r="C152" s="97" t="s">
        <v>26</v>
      </c>
      <c r="D152" s="91">
        <v>1</v>
      </c>
      <c r="E152" s="35">
        <v>50000000</v>
      </c>
      <c r="F152" s="35"/>
      <c r="G152" s="35"/>
      <c r="H152" s="36"/>
      <c r="I152" s="12"/>
      <c r="J152" s="12"/>
      <c r="K152" s="35"/>
      <c r="L152" s="35"/>
      <c r="M152" s="35"/>
      <c r="N152" s="36"/>
      <c r="O152" s="36"/>
      <c r="P152" s="12"/>
    </row>
    <row r="153" spans="1:18" ht="61.5" customHeight="1" x14ac:dyDescent="0.25">
      <c r="A153" s="123">
        <v>1</v>
      </c>
      <c r="B153" s="124" t="s">
        <v>414</v>
      </c>
      <c r="C153" s="125"/>
      <c r="D153" s="126"/>
      <c r="E153" s="35"/>
      <c r="F153" s="35"/>
      <c r="G153" s="35"/>
      <c r="H153" s="36"/>
      <c r="I153" s="12"/>
      <c r="J153" s="12"/>
      <c r="K153" s="35"/>
      <c r="L153" s="35"/>
      <c r="M153" s="35"/>
      <c r="N153" s="36"/>
      <c r="O153" s="36"/>
      <c r="P153" s="12"/>
    </row>
    <row r="154" spans="1:18" ht="61.5" customHeight="1" x14ac:dyDescent="0.25">
      <c r="A154" s="123" t="s">
        <v>206</v>
      </c>
      <c r="B154" s="124" t="s">
        <v>415</v>
      </c>
      <c r="C154" s="125" t="s">
        <v>416</v>
      </c>
      <c r="D154" s="126">
        <v>145</v>
      </c>
      <c r="E154" s="35">
        <v>131896.55172413794</v>
      </c>
      <c r="F154" s="35">
        <f t="shared" ref="F154:F161" si="192">E154*D154</f>
        <v>19125000</v>
      </c>
      <c r="G154" s="35">
        <f t="shared" ref="G154:G161" si="193">F154*13.8%</f>
        <v>2639250</v>
      </c>
      <c r="H154" s="36">
        <f t="shared" ref="H154:H161" si="194">F154+G154</f>
        <v>21764250</v>
      </c>
      <c r="I154" s="12">
        <v>145</v>
      </c>
      <c r="J154" s="12">
        <f t="shared" ref="J154:J161" si="195">D154-I154</f>
        <v>0</v>
      </c>
      <c r="K154" s="35">
        <f t="shared" ref="K154:K161" si="196">I154*E154</f>
        <v>19125000</v>
      </c>
      <c r="L154" s="35">
        <f t="shared" ref="L154:L161" si="197">K154*13.8%</f>
        <v>2639250</v>
      </c>
      <c r="M154" s="35">
        <f t="shared" ref="M154:M161" si="198">K154*10%</f>
        <v>1912500</v>
      </c>
      <c r="N154" s="36">
        <f t="shared" ref="N154:N161" si="199">SUM(K154:L154)-M154</f>
        <v>19851750</v>
      </c>
      <c r="O154" s="36">
        <f t="shared" ref="O154:O161" si="200">J154*E154</f>
        <v>0</v>
      </c>
      <c r="P154" s="12"/>
      <c r="R154" s="23">
        <f>SUM(K154:K161)</f>
        <v>23323965.517241381</v>
      </c>
    </row>
    <row r="155" spans="1:18" ht="61.5" customHeight="1" x14ac:dyDescent="0.25">
      <c r="A155" s="123" t="s">
        <v>222</v>
      </c>
      <c r="B155" s="124" t="s">
        <v>417</v>
      </c>
      <c r="C155" s="125" t="s">
        <v>416</v>
      </c>
      <c r="D155" s="126">
        <v>145</v>
      </c>
      <c r="E155" s="35">
        <v>63620.689655172413</v>
      </c>
      <c r="F155" s="35">
        <f t="shared" si="192"/>
        <v>9225000</v>
      </c>
      <c r="G155" s="35">
        <f t="shared" si="193"/>
        <v>1273050</v>
      </c>
      <c r="H155" s="36">
        <f t="shared" si="194"/>
        <v>10498050</v>
      </c>
      <c r="I155" s="12">
        <f>42</f>
        <v>42</v>
      </c>
      <c r="J155" s="12">
        <f t="shared" si="195"/>
        <v>103</v>
      </c>
      <c r="K155" s="35">
        <f t="shared" si="196"/>
        <v>2672068.9655172415</v>
      </c>
      <c r="L155" s="35">
        <f t="shared" si="197"/>
        <v>368745.51724137936</v>
      </c>
      <c r="M155" s="35">
        <f t="shared" si="198"/>
        <v>267206.89655172417</v>
      </c>
      <c r="N155" s="36">
        <f t="shared" si="199"/>
        <v>2773607.5862068967</v>
      </c>
      <c r="O155" s="36">
        <f t="shared" si="200"/>
        <v>6552931.0344827585</v>
      </c>
      <c r="P155" s="12"/>
    </row>
    <row r="156" spans="1:18" ht="61.5" customHeight="1" x14ac:dyDescent="0.25">
      <c r="A156" s="123" t="s">
        <v>288</v>
      </c>
      <c r="B156" s="124" t="s">
        <v>418</v>
      </c>
      <c r="C156" s="125" t="s">
        <v>416</v>
      </c>
      <c r="D156" s="126">
        <v>145</v>
      </c>
      <c r="E156" s="35">
        <v>45000</v>
      </c>
      <c r="F156" s="35">
        <f t="shared" si="192"/>
        <v>6525000</v>
      </c>
      <c r="G156" s="35">
        <f t="shared" si="193"/>
        <v>900450.00000000012</v>
      </c>
      <c r="H156" s="36">
        <f t="shared" si="194"/>
        <v>7425450</v>
      </c>
      <c r="I156" s="12">
        <f>21</f>
        <v>21</v>
      </c>
      <c r="J156" s="12">
        <f t="shared" si="195"/>
        <v>124</v>
      </c>
      <c r="K156" s="35">
        <f t="shared" si="196"/>
        <v>945000</v>
      </c>
      <c r="L156" s="35">
        <f t="shared" si="197"/>
        <v>130410.00000000001</v>
      </c>
      <c r="M156" s="35">
        <f t="shared" si="198"/>
        <v>94500</v>
      </c>
      <c r="N156" s="36">
        <f t="shared" si="199"/>
        <v>980910</v>
      </c>
      <c r="O156" s="36">
        <f t="shared" si="200"/>
        <v>5580000</v>
      </c>
      <c r="P156" s="12"/>
    </row>
    <row r="157" spans="1:18" ht="61.5" customHeight="1" x14ac:dyDescent="0.25">
      <c r="A157" s="123" t="s">
        <v>337</v>
      </c>
      <c r="B157" s="124" t="s">
        <v>419</v>
      </c>
      <c r="C157" s="125" t="s">
        <v>416</v>
      </c>
      <c r="D157" s="126">
        <v>145</v>
      </c>
      <c r="E157" s="35">
        <v>38793.103448275862</v>
      </c>
      <c r="F157" s="35">
        <f t="shared" si="192"/>
        <v>5625000</v>
      </c>
      <c r="G157" s="35">
        <f t="shared" si="193"/>
        <v>776250.00000000012</v>
      </c>
      <c r="H157" s="36">
        <f t="shared" si="194"/>
        <v>6401250</v>
      </c>
      <c r="I157" s="12">
        <f>15</f>
        <v>15</v>
      </c>
      <c r="J157" s="12">
        <f t="shared" si="195"/>
        <v>130</v>
      </c>
      <c r="K157" s="35">
        <f t="shared" si="196"/>
        <v>581896.55172413797</v>
      </c>
      <c r="L157" s="35">
        <f t="shared" si="197"/>
        <v>80301.724137931044</v>
      </c>
      <c r="M157" s="35">
        <f t="shared" si="198"/>
        <v>58189.655172413797</v>
      </c>
      <c r="N157" s="36">
        <f t="shared" si="199"/>
        <v>604008.62068965519</v>
      </c>
      <c r="O157" s="36">
        <f t="shared" si="200"/>
        <v>5043103.4482758623</v>
      </c>
      <c r="P157" s="12"/>
    </row>
    <row r="158" spans="1:18" ht="61.5" customHeight="1" x14ac:dyDescent="0.25">
      <c r="A158" s="123" t="s">
        <v>351</v>
      </c>
      <c r="B158" s="124" t="s">
        <v>420</v>
      </c>
      <c r="C158" s="125" t="s">
        <v>416</v>
      </c>
      <c r="D158" s="126">
        <v>145</v>
      </c>
      <c r="E158" s="35">
        <v>31034.482758620692</v>
      </c>
      <c r="F158" s="35">
        <f t="shared" si="192"/>
        <v>4500000</v>
      </c>
      <c r="G158" s="35">
        <f t="shared" si="193"/>
        <v>621000</v>
      </c>
      <c r="H158" s="36">
        <f t="shared" si="194"/>
        <v>5121000</v>
      </c>
      <c r="I158" s="12"/>
      <c r="J158" s="12">
        <f t="shared" si="195"/>
        <v>145</v>
      </c>
      <c r="K158" s="35">
        <f t="shared" si="196"/>
        <v>0</v>
      </c>
      <c r="L158" s="35">
        <f t="shared" si="197"/>
        <v>0</v>
      </c>
      <c r="M158" s="35">
        <f t="shared" si="198"/>
        <v>0</v>
      </c>
      <c r="N158" s="36">
        <f t="shared" si="199"/>
        <v>0</v>
      </c>
      <c r="O158" s="36">
        <f t="shared" si="200"/>
        <v>4500000</v>
      </c>
      <c r="P158" s="12"/>
    </row>
    <row r="159" spans="1:18" ht="61.5" customHeight="1" x14ac:dyDescent="0.25">
      <c r="A159" s="123">
        <v>2</v>
      </c>
      <c r="B159" s="124" t="s">
        <v>421</v>
      </c>
      <c r="C159" s="125" t="s">
        <v>26</v>
      </c>
      <c r="D159" s="126">
        <v>1</v>
      </c>
      <c r="E159" s="35">
        <v>1666667</v>
      </c>
      <c r="F159" s="35">
        <f t="shared" si="192"/>
        <v>1666667</v>
      </c>
      <c r="G159" s="35">
        <f t="shared" si="193"/>
        <v>230000.04600000003</v>
      </c>
      <c r="H159" s="36">
        <f t="shared" si="194"/>
        <v>1896667.0460000001</v>
      </c>
      <c r="I159" s="12"/>
      <c r="J159" s="12">
        <f t="shared" si="195"/>
        <v>1</v>
      </c>
      <c r="K159" s="35">
        <f t="shared" si="196"/>
        <v>0</v>
      </c>
      <c r="L159" s="35">
        <f t="shared" si="197"/>
        <v>0</v>
      </c>
      <c r="M159" s="35">
        <f t="shared" si="198"/>
        <v>0</v>
      </c>
      <c r="N159" s="36">
        <f t="shared" si="199"/>
        <v>0</v>
      </c>
      <c r="O159" s="36">
        <f t="shared" si="200"/>
        <v>1666667</v>
      </c>
      <c r="P159" s="12"/>
    </row>
    <row r="160" spans="1:18" ht="61.5" customHeight="1" x14ac:dyDescent="0.25">
      <c r="A160" s="123">
        <v>3</v>
      </c>
      <c r="B160" s="124" t="s">
        <v>422</v>
      </c>
      <c r="C160" s="125" t="s">
        <v>26</v>
      </c>
      <c r="D160" s="126">
        <v>1</v>
      </c>
      <c r="E160" s="35">
        <v>1666667</v>
      </c>
      <c r="F160" s="35">
        <f t="shared" si="192"/>
        <v>1666667</v>
      </c>
      <c r="G160" s="35">
        <f t="shared" si="193"/>
        <v>230000.04600000003</v>
      </c>
      <c r="H160" s="36">
        <f t="shared" si="194"/>
        <v>1896667.0460000001</v>
      </c>
      <c r="I160" s="12"/>
      <c r="J160" s="12">
        <f t="shared" si="195"/>
        <v>1</v>
      </c>
      <c r="K160" s="35">
        <f t="shared" si="196"/>
        <v>0</v>
      </c>
      <c r="L160" s="35">
        <f t="shared" si="197"/>
        <v>0</v>
      </c>
      <c r="M160" s="35">
        <f t="shared" si="198"/>
        <v>0</v>
      </c>
      <c r="N160" s="36">
        <f t="shared" si="199"/>
        <v>0</v>
      </c>
      <c r="O160" s="36">
        <f t="shared" si="200"/>
        <v>1666667</v>
      </c>
      <c r="P160" s="12"/>
    </row>
    <row r="161" spans="1:16" ht="61.5" customHeight="1" x14ac:dyDescent="0.25">
      <c r="A161" s="123">
        <v>4</v>
      </c>
      <c r="B161" s="124" t="s">
        <v>423</v>
      </c>
      <c r="C161" s="125" t="s">
        <v>26</v>
      </c>
      <c r="D161" s="126">
        <v>1</v>
      </c>
      <c r="E161" s="35">
        <v>1666667</v>
      </c>
      <c r="F161" s="35">
        <f t="shared" si="192"/>
        <v>1666667</v>
      </c>
      <c r="G161" s="35">
        <f t="shared" si="193"/>
        <v>230000.04600000003</v>
      </c>
      <c r="H161" s="36">
        <f t="shared" si="194"/>
        <v>1896667.0460000001</v>
      </c>
      <c r="I161" s="12"/>
      <c r="J161" s="12">
        <f t="shared" si="195"/>
        <v>1</v>
      </c>
      <c r="K161" s="35">
        <f t="shared" si="196"/>
        <v>0</v>
      </c>
      <c r="L161" s="35">
        <f t="shared" si="197"/>
        <v>0</v>
      </c>
      <c r="M161" s="35">
        <f t="shared" si="198"/>
        <v>0</v>
      </c>
      <c r="N161" s="36">
        <f t="shared" si="199"/>
        <v>0</v>
      </c>
      <c r="O161" s="36">
        <f t="shared" si="200"/>
        <v>1666667</v>
      </c>
      <c r="P161" s="12"/>
    </row>
    <row r="162" spans="1:16" ht="37.5" customHeight="1" x14ac:dyDescent="0.25">
      <c r="A162" s="12" t="s">
        <v>86</v>
      </c>
      <c r="B162" s="44" t="s">
        <v>160</v>
      </c>
      <c r="C162" s="34"/>
      <c r="D162" s="34"/>
      <c r="E162" s="35"/>
      <c r="F162" s="35"/>
      <c r="G162" s="35"/>
      <c r="H162" s="36"/>
      <c r="I162" s="12"/>
      <c r="J162" s="12"/>
      <c r="K162" s="35"/>
      <c r="L162" s="35"/>
      <c r="M162" s="35"/>
      <c r="N162" s="36"/>
      <c r="O162" s="36"/>
      <c r="P162" s="12"/>
    </row>
    <row r="163" spans="1:16" ht="37.5" customHeight="1" x14ac:dyDescent="0.25">
      <c r="A163" s="12">
        <v>1</v>
      </c>
      <c r="B163" s="44" t="s">
        <v>424</v>
      </c>
      <c r="C163" s="12" t="s">
        <v>425</v>
      </c>
      <c r="D163" s="34">
        <v>2</v>
      </c>
      <c r="E163" s="35">
        <v>200000</v>
      </c>
      <c r="F163" s="35">
        <f>E163*D163</f>
        <v>400000</v>
      </c>
      <c r="G163" s="35">
        <f>F163*13.8%</f>
        <v>55200.000000000007</v>
      </c>
      <c r="H163" s="36">
        <f>F163+G163</f>
        <v>455200</v>
      </c>
      <c r="I163" s="12"/>
      <c r="J163" s="12">
        <f>D163-I163</f>
        <v>2</v>
      </c>
      <c r="K163" s="35">
        <f t="shared" ref="K163:K165" si="201">I163*E163</f>
        <v>0</v>
      </c>
      <c r="L163" s="35">
        <f t="shared" si="26"/>
        <v>0</v>
      </c>
      <c r="M163" s="35">
        <f t="shared" ref="M163:M165" si="202">K163*10%</f>
        <v>0</v>
      </c>
      <c r="N163" s="36">
        <f t="shared" ref="N163:N165" si="203">SUM(K163:L163)-M163</f>
        <v>0</v>
      </c>
      <c r="O163" s="36">
        <f t="shared" ref="O163:O165" si="204">J163*E163</f>
        <v>400000</v>
      </c>
      <c r="P163" s="12"/>
    </row>
    <row r="164" spans="1:16" ht="37.5" customHeight="1" x14ac:dyDescent="0.25">
      <c r="A164" s="12">
        <v>2</v>
      </c>
      <c r="B164" s="44" t="s">
        <v>426</v>
      </c>
      <c r="C164" s="12" t="s">
        <v>425</v>
      </c>
      <c r="D164" s="34">
        <v>1</v>
      </c>
      <c r="E164" s="35">
        <v>100000</v>
      </c>
      <c r="F164" s="35">
        <f>E164*D164</f>
        <v>100000</v>
      </c>
      <c r="G164" s="35">
        <f t="shared" ref="G164:G165" si="205">F164*13.8%</f>
        <v>13800.000000000002</v>
      </c>
      <c r="H164" s="36">
        <f>F164+G164</f>
        <v>113800</v>
      </c>
      <c r="I164" s="12"/>
      <c r="J164" s="12">
        <f>D164-I164</f>
        <v>1</v>
      </c>
      <c r="K164" s="35">
        <f t="shared" si="201"/>
        <v>0</v>
      </c>
      <c r="L164" s="35">
        <f t="shared" si="26"/>
        <v>0</v>
      </c>
      <c r="M164" s="35">
        <f t="shared" si="202"/>
        <v>0</v>
      </c>
      <c r="N164" s="36">
        <f t="shared" si="203"/>
        <v>0</v>
      </c>
      <c r="O164" s="36">
        <f t="shared" si="204"/>
        <v>100000</v>
      </c>
      <c r="P164" s="127">
        <f>O5-SUM(O163:O165)</f>
        <v>296238048.68975866</v>
      </c>
    </row>
    <row r="165" spans="1:16" ht="37.5" customHeight="1" x14ac:dyDescent="0.25">
      <c r="A165" s="12">
        <v>6</v>
      </c>
      <c r="B165" s="44" t="s">
        <v>161</v>
      </c>
      <c r="C165" s="34" t="s">
        <v>26</v>
      </c>
      <c r="D165" s="34">
        <v>1</v>
      </c>
      <c r="E165" s="35">
        <v>11000000</v>
      </c>
      <c r="F165" s="35">
        <f>D165*E165</f>
        <v>11000000</v>
      </c>
      <c r="G165" s="35">
        <f t="shared" si="205"/>
        <v>1518000.0000000002</v>
      </c>
      <c r="H165" s="36">
        <f>F165+G165</f>
        <v>12518000</v>
      </c>
      <c r="I165" s="12"/>
      <c r="J165" s="12">
        <f>D165-I165</f>
        <v>1</v>
      </c>
      <c r="K165" s="35">
        <f t="shared" si="201"/>
        <v>0</v>
      </c>
      <c r="L165" s="35">
        <f t="shared" si="26"/>
        <v>0</v>
      </c>
      <c r="M165" s="35">
        <f t="shared" si="202"/>
        <v>0</v>
      </c>
      <c r="N165" s="36">
        <f t="shared" si="203"/>
        <v>0</v>
      </c>
      <c r="O165" s="36">
        <f t="shared" si="204"/>
        <v>11000000</v>
      </c>
      <c r="P165" s="12"/>
    </row>
    <row r="166" spans="1:16" ht="37.5" customHeight="1" x14ac:dyDescent="0.25">
      <c r="A166" s="12"/>
      <c r="B166" s="44"/>
      <c r="C166" s="34"/>
      <c r="D166" s="34"/>
      <c r="E166" s="35"/>
      <c r="F166" s="35"/>
      <c r="G166" s="35"/>
      <c r="H166" s="35"/>
      <c r="I166" s="12"/>
      <c r="J166" s="12"/>
      <c r="K166" s="35"/>
      <c r="L166" s="35"/>
      <c r="M166" s="35"/>
      <c r="N166" s="36"/>
      <c r="O166" s="36"/>
      <c r="P166" s="12"/>
    </row>
    <row r="167" spans="1:16" ht="37.5" customHeight="1" x14ac:dyDescent="0.25">
      <c r="A167" s="12"/>
      <c r="B167" s="44"/>
      <c r="C167" s="34"/>
      <c r="D167" s="34"/>
      <c r="E167" s="34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</row>
  </sheetData>
  <mergeCells count="20">
    <mergeCell ref="L3:L4"/>
    <mergeCell ref="O3:O4"/>
    <mergeCell ref="B5:E5"/>
    <mergeCell ref="B14:H14"/>
    <mergeCell ref="F3:F4"/>
    <mergeCell ref="G3:G4"/>
    <mergeCell ref="H3:H4"/>
    <mergeCell ref="I3:I4"/>
    <mergeCell ref="J3:J4"/>
    <mergeCell ref="K3:K4"/>
    <mergeCell ref="A1:P1"/>
    <mergeCell ref="A2:A4"/>
    <mergeCell ref="B2:B4"/>
    <mergeCell ref="C2:H2"/>
    <mergeCell ref="I2:L2"/>
    <mergeCell ref="N2:N4"/>
    <mergeCell ref="P2:P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Varanasi_EPC Package_SC</vt:lpstr>
      <vt:lpstr>Bhopal_EPC Package_SC</vt:lpstr>
      <vt:lpstr>Hubballi_EPC Package_SC</vt:lpstr>
      <vt:lpstr>Noida_EPC Package_SC</vt:lpstr>
      <vt:lpstr>Gorakhpur_EPC Package_SC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eoc nvvnupl09</dc:creator>
  <cp:lastModifiedBy>eoc nvvnupl09</cp:lastModifiedBy>
  <dcterms:created xsi:type="dcterms:W3CDTF">2025-03-28T14:44:37Z</dcterms:created>
  <dcterms:modified xsi:type="dcterms:W3CDTF">2025-03-28T15:38:53Z</dcterms:modified>
</cp:coreProperties>
</file>