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 activeTab="2"/>
  </bookViews>
  <sheets>
    <sheet name="Area Details" sheetId="1" r:id="rId1"/>
    <sheet name="Building calculation" sheetId="2" r:id="rId2"/>
    <sheet name="values" sheetId="3" r:id="rId3"/>
    <sheet name="Sheet1" sheetId="4" r:id="rId4"/>
  </sheets>
  <calcPr calcId="152511"/>
</workbook>
</file>

<file path=xl/calcChain.xml><?xml version="1.0" encoding="utf-8"?>
<calcChain xmlns="http://schemas.openxmlformats.org/spreadsheetml/2006/main">
  <c r="C11" i="3" l="1"/>
  <c r="K9" i="2" l="1"/>
  <c r="K10" i="2"/>
  <c r="K11" i="2"/>
  <c r="K12" i="2"/>
  <c r="F12" i="2" l="1"/>
  <c r="Y10" i="2"/>
  <c r="X9" i="2"/>
  <c r="X10" i="2"/>
  <c r="X11" i="2"/>
  <c r="W9" i="2"/>
  <c r="Y9" i="2" s="1"/>
  <c r="W10" i="2"/>
  <c r="W11" i="2"/>
  <c r="Y11" i="2" s="1"/>
  <c r="Y8" i="2"/>
  <c r="X8" i="2"/>
  <c r="W8" i="2"/>
  <c r="K24" i="2"/>
  <c r="Y13" i="2" l="1"/>
  <c r="I6" i="3" s="1"/>
  <c r="G13" i="2"/>
  <c r="K25" i="2"/>
  <c r="K22" i="2"/>
  <c r="K21" i="2"/>
  <c r="K8" i="2"/>
  <c r="F9" i="2"/>
  <c r="F10" i="2"/>
  <c r="F11" i="2"/>
  <c r="F13" i="2" s="1"/>
  <c r="F8" i="2"/>
  <c r="M26" i="2"/>
  <c r="M25" i="2"/>
  <c r="M27" i="2" s="1"/>
  <c r="B6" i="3"/>
  <c r="F6" i="4"/>
  <c r="F5" i="4"/>
  <c r="D6" i="4"/>
  <c r="I6" i="4"/>
  <c r="D5" i="4"/>
  <c r="I5" i="4"/>
  <c r="I16" i="3" l="1"/>
  <c r="C6" i="3" s="1"/>
  <c r="H5" i="3"/>
  <c r="P9" i="2" l="1"/>
  <c r="P10" i="2"/>
  <c r="P11" i="2"/>
  <c r="P12" i="2"/>
  <c r="N9" i="2"/>
  <c r="N10" i="2"/>
  <c r="N11" i="2"/>
  <c r="N12" i="2"/>
  <c r="H7" i="3"/>
  <c r="P13" i="2" l="1"/>
  <c r="Q10" i="2"/>
  <c r="Q12" i="2"/>
  <c r="R12" i="2" s="1"/>
  <c r="T12" i="2" s="1"/>
  <c r="Q11" i="2"/>
  <c r="Q9" i="2"/>
  <c r="R10" i="2"/>
  <c r="N8" i="2"/>
  <c r="P8" i="2"/>
  <c r="U10" i="2" l="1"/>
  <c r="R11" i="2"/>
  <c r="T11" i="2" s="1"/>
  <c r="R9" i="2"/>
  <c r="T9" i="2" s="1"/>
  <c r="T10" i="2"/>
  <c r="Q8" i="2"/>
  <c r="R8" i="2" l="1"/>
  <c r="T8" i="2" s="1"/>
  <c r="T13" i="2" s="1"/>
  <c r="C10" i="3" s="1"/>
  <c r="U8" i="2"/>
  <c r="U11" i="2"/>
  <c r="U9" i="2"/>
  <c r="R13" i="2"/>
  <c r="Q15" i="3"/>
  <c r="J12" i="1" l="1"/>
  <c r="I7" i="3"/>
  <c r="J13" i="1" l="1"/>
  <c r="J6" i="3"/>
  <c r="L6" i="3" s="1"/>
  <c r="I11" i="3" s="1"/>
  <c r="I5" i="3"/>
  <c r="I10" i="3" s="1"/>
  <c r="J14" i="1"/>
  <c r="I12" i="3" l="1"/>
  <c r="I8" i="3"/>
  <c r="D6" i="3"/>
  <c r="C9" i="3" s="1"/>
  <c r="C13" i="3" l="1"/>
  <c r="C14" i="3" s="1"/>
  <c r="C15" i="3" s="1"/>
  <c r="C17" i="3"/>
  <c r="C16" i="3" l="1"/>
</calcChain>
</file>

<file path=xl/sharedStrings.xml><?xml version="1.0" encoding="utf-8"?>
<sst xmlns="http://schemas.openxmlformats.org/spreadsheetml/2006/main" count="111" uniqueCount="94">
  <si>
    <t xml:space="preserve">S. NO </t>
  </si>
  <si>
    <t>Area ( Sqm)</t>
  </si>
  <si>
    <t>Area share( Sqm)</t>
  </si>
  <si>
    <t xml:space="preserve">In name of </t>
  </si>
  <si>
    <t>Sanjay kumar</t>
  </si>
  <si>
    <t>Shivin Singhal</t>
  </si>
  <si>
    <t>Anika Singhal</t>
  </si>
  <si>
    <t>Anchal Singhal</t>
  </si>
  <si>
    <t>Anika Singhal dated 30.03.2017</t>
  </si>
  <si>
    <t>Pradosh Singhal HUF dated 27.05.2021</t>
  </si>
  <si>
    <t>Pradosh Singhal dated 27.05.2021</t>
  </si>
  <si>
    <t>Vkram Snghal &amp; sandeep Singhal Dated 16.06.2014</t>
  </si>
  <si>
    <t>A</t>
  </si>
  <si>
    <t>SR. No.</t>
  </si>
  <si>
    <t>Particulars</t>
  </si>
  <si>
    <t>Type of Structure</t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</si>
  <si>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</si>
  <si>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r>
      <t xml:space="preserve">Area 
</t>
    </r>
    <r>
      <rPr>
        <b/>
        <i/>
        <sz val="10"/>
        <rFont val="Calibri"/>
        <family val="2"/>
        <scheme val="minor"/>
      </rPr>
      <t>(in sq.mt)</t>
    </r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</si>
  <si>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</si>
  <si>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t>Year of Construction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</si>
  <si>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</si>
  <si>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</si>
  <si>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</si>
  <si>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</si>
  <si>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</si>
  <si>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</si>
  <si>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</si>
  <si>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 xml:space="preserve">Depreciation factor
 </t>
  </si>
  <si>
    <t>Depreciation amount
(INR)</t>
  </si>
  <si>
    <t>Discounting Factor</t>
  </si>
  <si>
    <t>Depreciated Replacement Market Value 
(INR)</t>
  </si>
  <si>
    <t>Notes:</t>
  </si>
  <si>
    <t>FMV</t>
  </si>
  <si>
    <t>Land</t>
  </si>
  <si>
    <t>Rate</t>
  </si>
  <si>
    <t>Value</t>
  </si>
  <si>
    <t xml:space="preserve"> -   </t>
  </si>
  <si>
    <t>land</t>
  </si>
  <si>
    <t>Building</t>
  </si>
  <si>
    <t>Boundry wall</t>
  </si>
  <si>
    <t>P&amp;M</t>
  </si>
  <si>
    <t>Fair market</t>
  </si>
  <si>
    <t>Round off</t>
  </si>
  <si>
    <t>Realizable</t>
  </si>
  <si>
    <t>Distress</t>
  </si>
  <si>
    <t>Insurance</t>
  </si>
  <si>
    <t>Area</t>
  </si>
  <si>
    <t>Circle Rate land</t>
  </si>
  <si>
    <t>Building val</t>
  </si>
  <si>
    <t>Dap rate</t>
  </si>
  <si>
    <t>Dep Value</t>
  </si>
  <si>
    <t>Circle rate land</t>
  </si>
  <si>
    <t>Circle rate Building</t>
  </si>
  <si>
    <t>Circle rate Value</t>
  </si>
  <si>
    <t>land area in sqft</t>
  </si>
  <si>
    <t>Through deed no.</t>
  </si>
  <si>
    <t>Sale dee Executed by</t>
  </si>
  <si>
    <t>Total</t>
  </si>
  <si>
    <t>TIR date</t>
  </si>
  <si>
    <t>16.06.2021</t>
  </si>
  <si>
    <t>12.05.2021</t>
  </si>
  <si>
    <t>Covered area as per bye laws</t>
  </si>
  <si>
    <t>RCC</t>
  </si>
  <si>
    <t>Shed</t>
  </si>
  <si>
    <t>Ground Floor</t>
  </si>
  <si>
    <t>First Floor</t>
  </si>
  <si>
    <t>Second Floor</t>
  </si>
  <si>
    <t>Circle  Const (Shed)</t>
  </si>
  <si>
    <t>Circle Const (RCC)</t>
  </si>
  <si>
    <t>Rates</t>
  </si>
  <si>
    <t>Premium</t>
  </si>
  <si>
    <t>Discount</t>
  </si>
  <si>
    <t>Adopted rates</t>
  </si>
  <si>
    <t>S. No</t>
  </si>
  <si>
    <t>Price</t>
  </si>
  <si>
    <t>Link</t>
  </si>
  <si>
    <t>https://www.99acres.com/industrial-land-plot-for-sale-in-sector-59-noida-4301-sq-yard-r3-spid-P76254111</t>
  </si>
  <si>
    <t>https://www.99acres.com/industrial-land-plot-for-sale-in-sector-59-noida-3775-sq-yard-spid-M80707167</t>
  </si>
  <si>
    <t>2 side open plot</t>
  </si>
  <si>
    <t>Basement</t>
  </si>
  <si>
    <t>Third Floor</t>
  </si>
  <si>
    <t>FAR</t>
  </si>
  <si>
    <t>GC</t>
  </si>
  <si>
    <t>1. All the details pertaining to the building area statement such as area, floor,type of structure etc. has been taken as per the approved map was provide to us.</t>
  </si>
  <si>
    <t xml:space="preserve">2. Third Floor is comstructed on site but same is not considered for the vluation as same is not mentioned in FAR and not permissible as per building  laws. </t>
  </si>
  <si>
    <t>3. Construction year of the plant has been taken from the information provided by the client during site survey .</t>
  </si>
  <si>
    <t>4. The valuation is done by considering the depreciated replacement cost approach.</t>
  </si>
  <si>
    <t>BUILDING VALUATION FOR M/S. VIDYA INFRASTRUCTURE MCC</t>
  </si>
  <si>
    <t>5. All the building and structures belongs to M/S. VIDYA INFRASTRUCTURE MCC</t>
  </si>
  <si>
    <t>Dep</t>
  </si>
  <si>
    <t>Gross</t>
  </si>
  <si>
    <t>Net</t>
  </si>
  <si>
    <t>Circle rates</t>
  </si>
  <si>
    <t>Circle Rates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</si>
</sst>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 * #,##0_ ;_ * \-#,##0_ ;_ * &quot;-&quot;??_ ;_ @_ "/>
    <numFmt numFmtId="165" formatCode="0.000"/>
    <numFmt numFmtId="166" formatCode="_ * #,##0.000_ ;_ * \-#,##0.00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164" fontId="0" fillId="0" borderId="0" xfId="1" applyNumberFormat="1" applyFont="1"/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2" fontId="0" fillId="0" borderId="4" xfId="0" applyNumberFormat="1" applyBorder="1"/>
    <xf numFmtId="0" fontId="6" fillId="0" borderId="4" xfId="0" applyFont="1" applyBorder="1" applyAlignment="1">
      <alignment horizontal="center" vertical="center" wrapText="1"/>
    </xf>
    <xf numFmtId="9" fontId="6" fillId="0" borderId="4" xfId="0" applyNumberFormat="1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164" fontId="6" fillId="0" borderId="4" xfId="1" applyNumberFormat="1" applyFont="1" applyFill="1" applyBorder="1" applyAlignment="1">
      <alignment horizontal="center" vertical="center" wrapText="1"/>
    </xf>
    <xf numFmtId="166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9" fontId="6" fillId="0" borderId="4" xfId="2" applyFont="1" applyFill="1" applyBorder="1" applyAlignment="1">
      <alignment horizontal="center" vertical="center" wrapText="1"/>
    </xf>
    <xf numFmtId="43" fontId="6" fillId="0" borderId="4" xfId="1" applyFont="1" applyFill="1" applyBorder="1" applyAlignment="1">
      <alignment horizontal="center" vertical="center" wrapText="1"/>
    </xf>
    <xf numFmtId="2" fontId="0" fillId="0" borderId="9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0" fillId="0" borderId="0" xfId="0" applyNumberFormat="1"/>
    <xf numFmtId="43" fontId="0" fillId="0" borderId="12" xfId="1" applyFont="1" applyBorder="1"/>
    <xf numFmtId="1" fontId="0" fillId="0" borderId="13" xfId="0" applyNumberFormat="1" applyBorder="1"/>
    <xf numFmtId="164" fontId="9" fillId="0" borderId="14" xfId="1" applyNumberFormat="1" applyFont="1" applyBorder="1"/>
    <xf numFmtId="1" fontId="0" fillId="0" borderId="15" xfId="0" applyNumberFormat="1" applyBorder="1"/>
    <xf numFmtId="164" fontId="9" fillId="0" borderId="16" xfId="1" applyNumberFormat="1" applyFont="1" applyBorder="1"/>
    <xf numFmtId="164" fontId="0" fillId="0" borderId="16" xfId="1" applyNumberFormat="1" applyFont="1" applyBorder="1"/>
    <xf numFmtId="0" fontId="9" fillId="0" borderId="0" xfId="0" applyFont="1"/>
    <xf numFmtId="1" fontId="0" fillId="0" borderId="17" xfId="0" applyNumberFormat="1" applyBorder="1"/>
    <xf numFmtId="164" fontId="0" fillId="0" borderId="18" xfId="1" applyNumberFormat="1" applyFont="1" applyBorder="1"/>
    <xf numFmtId="1" fontId="0" fillId="5" borderId="4" xfId="0" applyNumberFormat="1" applyFill="1" applyBorder="1"/>
    <xf numFmtId="1" fontId="0" fillId="0" borderId="4" xfId="0" applyNumberFormat="1" applyBorder="1"/>
    <xf numFmtId="164" fontId="0" fillId="6" borderId="4" xfId="1" applyNumberFormat="1" applyFont="1" applyFill="1" applyBorder="1"/>
    <xf numFmtId="164" fontId="0" fillId="5" borderId="4" xfId="1" applyNumberFormat="1" applyFont="1" applyFill="1" applyBorder="1"/>
    <xf numFmtId="164" fontId="0" fillId="0" borderId="4" xfId="1" applyNumberFormat="1" applyFont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Alignment="1">
      <alignment wrapText="1"/>
    </xf>
    <xf numFmtId="43" fontId="0" fillId="0" borderId="0" xfId="1" applyFont="1"/>
    <xf numFmtId="0" fontId="4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43" fontId="0" fillId="0" borderId="4" xfId="1" applyNumberFormat="1" applyFont="1" applyFill="1" applyBorder="1"/>
    <xf numFmtId="43" fontId="0" fillId="0" borderId="0" xfId="0" applyNumberFormat="1"/>
    <xf numFmtId="2" fontId="0" fillId="0" borderId="0" xfId="0" applyNumberFormat="1" applyFill="1" applyBorder="1"/>
    <xf numFmtId="9" fontId="0" fillId="0" borderId="0" xfId="0" applyNumberFormat="1"/>
    <xf numFmtId="164" fontId="0" fillId="0" borderId="0" xfId="1" applyNumberFormat="1" applyFont="1" applyFill="1"/>
    <xf numFmtId="0" fontId="0" fillId="0" borderId="0" xfId="0" applyNumberFormat="1"/>
    <xf numFmtId="0" fontId="0" fillId="0" borderId="4" xfId="0" applyFont="1" applyFill="1" applyBorder="1" applyAlignment="1">
      <alignment horizontal="center" vertical="center"/>
    </xf>
    <xf numFmtId="164" fontId="2" fillId="0" borderId="4" xfId="1" applyNumberFormat="1" applyFont="1" applyBorder="1"/>
    <xf numFmtId="164" fontId="0" fillId="0" borderId="0" xfId="0" applyNumberFormat="1"/>
    <xf numFmtId="0" fontId="3" fillId="2" borderId="2" xfId="0" applyFont="1" applyFill="1" applyBorder="1" applyAlignment="1">
      <alignment horizontal="center" vertical="center" wrapText="1"/>
    </xf>
    <xf numFmtId="43" fontId="0" fillId="0" borderId="4" xfId="0" applyNumberFormat="1" applyBorder="1"/>
    <xf numFmtId="0" fontId="7" fillId="0" borderId="0" xfId="0" applyFont="1" applyBorder="1" applyAlignment="1">
      <alignment horizontal="left" vertical="center"/>
    </xf>
    <xf numFmtId="0" fontId="8" fillId="4" borderId="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J25"/>
  <sheetViews>
    <sheetView workbookViewId="0"/>
  </sheetViews>
  <sheetFormatPr defaultRowHeight="15" x14ac:dyDescent="0.25"/>
  <cols>
    <col min="5" max="5" width="10.140625" bestFit="1" customWidth="1"/>
    <col min="6" max="6" width="14.5703125" hidden="1" customWidth="1"/>
    <col min="7" max="7" width="46.28515625" bestFit="1" customWidth="1"/>
    <col min="8" max="8" width="14.5703125" customWidth="1"/>
    <col min="9" max="10" width="16.5703125" customWidth="1"/>
  </cols>
  <sheetData>
    <row r="5" spans="4:10" x14ac:dyDescent="0.25">
      <c r="D5" s="33" t="s">
        <v>0</v>
      </c>
      <c r="E5" s="33" t="s">
        <v>58</v>
      </c>
      <c r="F5" s="33" t="s">
        <v>1</v>
      </c>
      <c r="G5" s="33" t="s">
        <v>56</v>
      </c>
      <c r="H5" s="33" t="s">
        <v>3</v>
      </c>
      <c r="I5" s="33" t="s">
        <v>55</v>
      </c>
      <c r="J5" s="33" t="s">
        <v>2</v>
      </c>
    </row>
    <row r="6" spans="4:10" x14ac:dyDescent="0.25">
      <c r="D6" s="34">
        <v>1</v>
      </c>
      <c r="E6" s="34" t="s">
        <v>59</v>
      </c>
      <c r="F6" s="34">
        <v>297.5</v>
      </c>
      <c r="G6" s="34" t="s">
        <v>9</v>
      </c>
      <c r="H6" s="34" t="s">
        <v>5</v>
      </c>
      <c r="I6" s="34">
        <v>3485</v>
      </c>
      <c r="J6" s="34">
        <v>74.375</v>
      </c>
    </row>
    <row r="7" spans="4:10" x14ac:dyDescent="0.25">
      <c r="D7" s="34">
        <v>2</v>
      </c>
      <c r="E7" s="34" t="s">
        <v>59</v>
      </c>
      <c r="F7" s="34">
        <v>297.5</v>
      </c>
      <c r="G7" s="34" t="s">
        <v>10</v>
      </c>
      <c r="H7" s="34" t="s">
        <v>4</v>
      </c>
      <c r="I7" s="34">
        <v>3486</v>
      </c>
      <c r="J7" s="34">
        <v>74.375</v>
      </c>
    </row>
    <row r="8" spans="4:10" x14ac:dyDescent="0.25">
      <c r="D8" s="34">
        <v>3</v>
      </c>
      <c r="E8" s="34" t="s">
        <v>60</v>
      </c>
      <c r="F8" s="34">
        <v>297.5</v>
      </c>
      <c r="G8" s="34" t="s">
        <v>8</v>
      </c>
      <c r="H8" s="34" t="s">
        <v>6</v>
      </c>
      <c r="I8" s="34">
        <v>1625</v>
      </c>
      <c r="J8" s="34">
        <v>96.706000000000003</v>
      </c>
    </row>
    <row r="9" spans="4:10" x14ac:dyDescent="0.25">
      <c r="D9" s="34">
        <v>4</v>
      </c>
      <c r="E9" s="34" t="s">
        <v>59</v>
      </c>
      <c r="F9" s="34">
        <v>297.5</v>
      </c>
      <c r="G9" s="34" t="s">
        <v>9</v>
      </c>
      <c r="H9" s="34" t="s">
        <v>7</v>
      </c>
      <c r="I9" s="34">
        <v>3333</v>
      </c>
      <c r="J9" s="34">
        <v>74.375</v>
      </c>
    </row>
    <row r="10" spans="4:10" x14ac:dyDescent="0.25">
      <c r="D10" s="34">
        <v>5</v>
      </c>
      <c r="E10" s="34" t="s">
        <v>59</v>
      </c>
      <c r="F10" s="34">
        <v>297.5</v>
      </c>
      <c r="G10" s="34" t="s">
        <v>10</v>
      </c>
      <c r="H10" s="34" t="s">
        <v>7</v>
      </c>
      <c r="I10" s="34">
        <v>3334</v>
      </c>
      <c r="J10" s="34">
        <v>74.375</v>
      </c>
    </row>
    <row r="11" spans="4:10" x14ac:dyDescent="0.25">
      <c r="D11" s="34">
        <v>6</v>
      </c>
      <c r="E11" s="34" t="s">
        <v>60</v>
      </c>
      <c r="F11" s="34">
        <v>297.5</v>
      </c>
      <c r="G11" s="34" t="s">
        <v>11</v>
      </c>
      <c r="H11" s="34" t="s">
        <v>5</v>
      </c>
      <c r="I11" s="34">
        <v>3377</v>
      </c>
      <c r="J11" s="34">
        <v>148.75</v>
      </c>
    </row>
    <row r="12" spans="4:10" x14ac:dyDescent="0.25">
      <c r="D12" s="55" t="s">
        <v>57</v>
      </c>
      <c r="E12" s="56"/>
      <c r="F12" s="56"/>
      <c r="G12" s="56"/>
      <c r="H12" s="56"/>
      <c r="I12" s="57"/>
      <c r="J12" s="35">
        <f>SUM(J6:J11)</f>
        <v>542.95600000000002</v>
      </c>
    </row>
    <row r="13" spans="4:10" x14ac:dyDescent="0.25">
      <c r="F13" t="s">
        <v>54</v>
      </c>
      <c r="J13" s="18">
        <f>J12*10.764</f>
        <v>5844.3783839999996</v>
      </c>
    </row>
    <row r="14" spans="4:10" ht="30" x14ac:dyDescent="0.25">
      <c r="I14" s="36" t="s">
        <v>61</v>
      </c>
      <c r="J14" s="37">
        <f>J12*0.55</f>
        <v>298.62580000000003</v>
      </c>
    </row>
    <row r="25" spans="8:8" x14ac:dyDescent="0.25">
      <c r="H25" t="s">
        <v>12</v>
      </c>
    </row>
  </sheetData>
  <mergeCells count="1">
    <mergeCell ref="D12:I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Y27"/>
  <sheetViews>
    <sheetView topLeftCell="D1" zoomScaleNormal="100" workbookViewId="0">
      <selection activeCell="T13" sqref="T13"/>
    </sheetView>
  </sheetViews>
  <sheetFormatPr defaultRowHeight="15" x14ac:dyDescent="0.25"/>
  <cols>
    <col min="4" max="4" width="16" customWidth="1"/>
    <col min="6" max="6" width="11.7109375" customWidth="1"/>
    <col min="7" max="7" width="11.28515625" customWidth="1"/>
    <col min="9" max="9" width="13.5703125" customWidth="1"/>
    <col min="10" max="10" width="11.42578125" customWidth="1"/>
    <col min="11" max="11" width="10.140625" customWidth="1"/>
    <col min="12" max="12" width="10.7109375" customWidth="1"/>
    <col min="13" max="13" width="9.140625" customWidth="1"/>
    <col min="14" max="14" width="12.140625" customWidth="1"/>
    <col min="16" max="16" width="13.42578125" customWidth="1"/>
    <col min="17" max="17" width="13.28515625" customWidth="1"/>
    <col min="18" max="18" width="12.7109375" customWidth="1"/>
    <col min="19" max="19" width="11.140625" customWidth="1"/>
    <col min="20" max="20" width="13.85546875" customWidth="1"/>
    <col min="21" max="21" width="13.85546875" hidden="1" customWidth="1"/>
    <col min="24" max="25" width="14.28515625" bestFit="1" customWidth="1"/>
  </cols>
  <sheetData>
    <row r="6" spans="3:25" ht="15.75" x14ac:dyDescent="0.25">
      <c r="C6" s="58" t="s">
        <v>87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63"/>
      <c r="U6" s="50"/>
      <c r="V6" s="58" t="s">
        <v>93</v>
      </c>
      <c r="W6" s="59"/>
      <c r="X6" s="59"/>
      <c r="Y6" s="59"/>
    </row>
    <row r="7" spans="3:25" ht="77.25" customHeight="1" x14ac:dyDescent="0.25">
      <c r="C7" s="2" t="s">
        <v>13</v>
      </c>
      <c r="D7" s="2" t="s">
        <v>14</v>
      </c>
      <c r="E7" s="2" t="s">
        <v>15</v>
      </c>
      <c r="F7" s="2" t="s">
        <v>16</v>
      </c>
      <c r="G7" s="2" t="s">
        <v>17</v>
      </c>
      <c r="H7" s="2" t="s">
        <v>18</v>
      </c>
      <c r="I7" s="2" t="s">
        <v>19</v>
      </c>
      <c r="J7" s="2" t="s">
        <v>20</v>
      </c>
      <c r="K7" s="2" t="s">
        <v>21</v>
      </c>
      <c r="L7" s="2" t="s">
        <v>22</v>
      </c>
      <c r="M7" s="2" t="s">
        <v>23</v>
      </c>
      <c r="N7" s="2" t="s">
        <v>24</v>
      </c>
      <c r="O7" s="2" t="s">
        <v>25</v>
      </c>
      <c r="P7" s="2" t="s">
        <v>26</v>
      </c>
      <c r="Q7" s="2" t="s">
        <v>27</v>
      </c>
      <c r="R7" s="2" t="s">
        <v>28</v>
      </c>
      <c r="S7" s="2" t="s">
        <v>29</v>
      </c>
      <c r="T7" s="3" t="s">
        <v>30</v>
      </c>
      <c r="U7" s="3"/>
      <c r="V7" s="2" t="s">
        <v>92</v>
      </c>
      <c r="W7" s="2" t="s">
        <v>89</v>
      </c>
      <c r="X7" s="2" t="s">
        <v>90</v>
      </c>
      <c r="Y7" s="2" t="s">
        <v>91</v>
      </c>
    </row>
    <row r="8" spans="3:25" x14ac:dyDescent="0.25">
      <c r="C8" s="4">
        <v>1</v>
      </c>
      <c r="D8" s="38" t="s">
        <v>79</v>
      </c>
      <c r="E8" s="5" t="s">
        <v>62</v>
      </c>
      <c r="F8" s="32">
        <f>G8*10.764</f>
        <v>26794.394640000002</v>
      </c>
      <c r="G8" s="41">
        <v>2489.2600000000002</v>
      </c>
      <c r="H8" s="39">
        <v>16</v>
      </c>
      <c r="I8" s="40">
        <v>2012</v>
      </c>
      <c r="J8" s="7">
        <v>2025</v>
      </c>
      <c r="K8" s="7">
        <f t="shared" ref="K8:K12" si="0">J8-I8</f>
        <v>13</v>
      </c>
      <c r="L8" s="39">
        <v>65</v>
      </c>
      <c r="M8" s="8">
        <v>0.1</v>
      </c>
      <c r="N8" s="9">
        <f t="shared" ref="N8:N12" si="1">(1-M8)/L8</f>
        <v>1.3846153846153847E-2</v>
      </c>
      <c r="O8" s="7">
        <v>1500</v>
      </c>
      <c r="P8" s="10">
        <f>O8*F8</f>
        <v>40191591.960000001</v>
      </c>
      <c r="Q8" s="11">
        <f t="shared" ref="Q8:Q12" si="2">N8*K8</f>
        <v>0.18</v>
      </c>
      <c r="R8" s="12">
        <f t="shared" ref="R8:R12" si="3">P8*Q8</f>
        <v>7234486.5527999997</v>
      </c>
      <c r="S8" s="13">
        <v>0</v>
      </c>
      <c r="T8" s="14">
        <f t="shared" ref="T8:T12" si="4">(P8-R8)*(1-S8)</f>
        <v>32957105.407200001</v>
      </c>
      <c r="U8" s="14">
        <f>IF(Q8&lt;0.9,(P8-R8),(P8*0.1))</f>
        <v>32957105.407200001</v>
      </c>
      <c r="V8" s="33">
        <v>14000</v>
      </c>
      <c r="W8" s="33">
        <f>((G8*V8*K8*9)/(80*10))</f>
        <v>5096759.8499999996</v>
      </c>
      <c r="X8" s="51">
        <f>V8*G8</f>
        <v>34849640</v>
      </c>
      <c r="Y8" s="51">
        <f>X8-W8</f>
        <v>29752880.149999999</v>
      </c>
    </row>
    <row r="9" spans="3:25" x14ac:dyDescent="0.25">
      <c r="C9" s="4">
        <v>2</v>
      </c>
      <c r="D9" s="38" t="s">
        <v>64</v>
      </c>
      <c r="E9" s="5" t="s">
        <v>62</v>
      </c>
      <c r="F9" s="32">
        <f t="shared" ref="F9:F12" si="5">G9*10.764</f>
        <v>28291.774679999999</v>
      </c>
      <c r="G9" s="41">
        <v>2628.37</v>
      </c>
      <c r="H9" s="39">
        <v>16</v>
      </c>
      <c r="I9" s="40">
        <v>2012</v>
      </c>
      <c r="J9" s="7">
        <v>2025</v>
      </c>
      <c r="K9" s="7">
        <f t="shared" si="0"/>
        <v>13</v>
      </c>
      <c r="L9" s="39">
        <v>65</v>
      </c>
      <c r="M9" s="8">
        <v>0.1</v>
      </c>
      <c r="N9" s="9">
        <f t="shared" si="1"/>
        <v>1.3846153846153847E-2</v>
      </c>
      <c r="O9" s="7">
        <v>1800</v>
      </c>
      <c r="P9" s="10">
        <f t="shared" ref="P9:P12" si="6">O9*F9</f>
        <v>50925194.423999995</v>
      </c>
      <c r="Q9" s="11">
        <f t="shared" si="2"/>
        <v>0.18</v>
      </c>
      <c r="R9" s="12">
        <f t="shared" si="3"/>
        <v>9166534.9963199981</v>
      </c>
      <c r="S9" s="13">
        <v>0</v>
      </c>
      <c r="T9" s="14">
        <f t="shared" si="4"/>
        <v>41758659.427680001</v>
      </c>
      <c r="U9" s="14">
        <f t="shared" ref="U9:U11" si="7">IF(Q9&lt;0.9,(P9-R9),(P9*0.1))</f>
        <v>41758659.427680001</v>
      </c>
      <c r="V9" s="33">
        <v>14000</v>
      </c>
      <c r="W9" s="33">
        <f t="shared" ref="W9:W11" si="8">((G9*V9*K9*9)/(80*10))</f>
        <v>5381587.5750000002</v>
      </c>
      <c r="X9" s="51">
        <f t="shared" ref="X9:X11" si="9">V9*G9</f>
        <v>36797180</v>
      </c>
      <c r="Y9" s="51">
        <f t="shared" ref="Y9:Y11" si="10">X9-W9</f>
        <v>31415592.425000001</v>
      </c>
    </row>
    <row r="10" spans="3:25" x14ac:dyDescent="0.25">
      <c r="C10" s="4">
        <v>3</v>
      </c>
      <c r="D10" s="38" t="s">
        <v>65</v>
      </c>
      <c r="E10" s="5" t="s">
        <v>62</v>
      </c>
      <c r="F10" s="32">
        <f t="shared" si="5"/>
        <v>28291.774679999999</v>
      </c>
      <c r="G10" s="41">
        <v>2628.37</v>
      </c>
      <c r="H10" s="39">
        <v>16</v>
      </c>
      <c r="I10" s="40">
        <v>2012</v>
      </c>
      <c r="J10" s="7">
        <v>2025</v>
      </c>
      <c r="K10" s="7">
        <f t="shared" si="0"/>
        <v>13</v>
      </c>
      <c r="L10" s="39">
        <v>65</v>
      </c>
      <c r="M10" s="8">
        <v>0.1</v>
      </c>
      <c r="N10" s="9">
        <f t="shared" si="1"/>
        <v>1.3846153846153847E-2</v>
      </c>
      <c r="O10" s="7">
        <v>1600</v>
      </c>
      <c r="P10" s="10">
        <f t="shared" si="6"/>
        <v>45266839.487999998</v>
      </c>
      <c r="Q10" s="11">
        <f t="shared" si="2"/>
        <v>0.18</v>
      </c>
      <c r="R10" s="12">
        <f t="shared" si="3"/>
        <v>8148031.1078399997</v>
      </c>
      <c r="S10" s="13">
        <v>0</v>
      </c>
      <c r="T10" s="14">
        <f t="shared" si="4"/>
        <v>37118808.380159996</v>
      </c>
      <c r="U10" s="14">
        <f t="shared" si="7"/>
        <v>37118808.380159996</v>
      </c>
      <c r="V10" s="33">
        <v>14000</v>
      </c>
      <c r="W10" s="33">
        <f t="shared" si="8"/>
        <v>5381587.5750000002</v>
      </c>
      <c r="X10" s="51">
        <f t="shared" si="9"/>
        <v>36797180</v>
      </c>
      <c r="Y10" s="51">
        <f t="shared" si="10"/>
        <v>31415592.425000001</v>
      </c>
    </row>
    <row r="11" spans="3:25" x14ac:dyDescent="0.25">
      <c r="C11" s="4">
        <v>4</v>
      </c>
      <c r="D11" s="38" t="s">
        <v>66</v>
      </c>
      <c r="E11" s="5" t="s">
        <v>62</v>
      </c>
      <c r="F11" s="32">
        <f t="shared" si="5"/>
        <v>28291.774679999999</v>
      </c>
      <c r="G11" s="41">
        <v>2628.37</v>
      </c>
      <c r="H11" s="39">
        <v>16</v>
      </c>
      <c r="I11" s="40">
        <v>2012</v>
      </c>
      <c r="J11" s="7">
        <v>2025</v>
      </c>
      <c r="K11" s="7">
        <f t="shared" si="0"/>
        <v>13</v>
      </c>
      <c r="L11" s="39">
        <v>65</v>
      </c>
      <c r="M11" s="8">
        <v>0.1</v>
      </c>
      <c r="N11" s="9">
        <f t="shared" si="1"/>
        <v>1.3846153846153847E-2</v>
      </c>
      <c r="O11" s="7">
        <v>1600</v>
      </c>
      <c r="P11" s="10">
        <f t="shared" si="6"/>
        <v>45266839.487999998</v>
      </c>
      <c r="Q11" s="11">
        <f t="shared" si="2"/>
        <v>0.18</v>
      </c>
      <c r="R11" s="12">
        <f t="shared" si="3"/>
        <v>8148031.1078399997</v>
      </c>
      <c r="S11" s="13">
        <v>0</v>
      </c>
      <c r="T11" s="14">
        <f t="shared" si="4"/>
        <v>37118808.380159996</v>
      </c>
      <c r="U11" s="14">
        <f t="shared" si="7"/>
        <v>37118808.380159996</v>
      </c>
      <c r="V11" s="33">
        <v>14000</v>
      </c>
      <c r="W11" s="33">
        <f t="shared" si="8"/>
        <v>5381587.5750000002</v>
      </c>
      <c r="X11" s="51">
        <f t="shared" si="9"/>
        <v>36797180</v>
      </c>
      <c r="Y11" s="51">
        <f t="shared" si="10"/>
        <v>31415592.425000001</v>
      </c>
    </row>
    <row r="12" spans="3:25" x14ac:dyDescent="0.25">
      <c r="C12" s="38">
        <v>5</v>
      </c>
      <c r="D12" s="38" t="s">
        <v>80</v>
      </c>
      <c r="E12" s="5" t="s">
        <v>63</v>
      </c>
      <c r="F12" s="32">
        <f t="shared" si="5"/>
        <v>0</v>
      </c>
      <c r="G12" s="41"/>
      <c r="H12" s="39">
        <v>20</v>
      </c>
      <c r="I12" s="40">
        <v>2012</v>
      </c>
      <c r="J12" s="7">
        <v>2025</v>
      </c>
      <c r="K12" s="7">
        <f t="shared" si="0"/>
        <v>13</v>
      </c>
      <c r="L12" s="39">
        <v>40</v>
      </c>
      <c r="M12" s="8">
        <v>0.1</v>
      </c>
      <c r="N12" s="9">
        <f t="shared" si="1"/>
        <v>2.2499999999999999E-2</v>
      </c>
      <c r="O12" s="7">
        <v>1000</v>
      </c>
      <c r="P12" s="10">
        <f t="shared" si="6"/>
        <v>0</v>
      </c>
      <c r="Q12" s="11">
        <f t="shared" si="2"/>
        <v>0.29249999999999998</v>
      </c>
      <c r="R12" s="12">
        <f t="shared" si="3"/>
        <v>0</v>
      </c>
      <c r="S12" s="13">
        <v>0</v>
      </c>
      <c r="T12" s="14">
        <f t="shared" si="4"/>
        <v>0</v>
      </c>
      <c r="U12" s="14"/>
      <c r="V12" s="33"/>
      <c r="W12" s="33"/>
      <c r="X12" s="33"/>
      <c r="Y12" s="33"/>
    </row>
    <row r="13" spans="3:25" x14ac:dyDescent="0.25">
      <c r="C13" s="70" t="s">
        <v>57</v>
      </c>
      <c r="D13" s="71"/>
      <c r="E13" s="72"/>
      <c r="F13" s="48">
        <f>SUM(F8:F12)</f>
        <v>111669.71868000001</v>
      </c>
      <c r="G13" s="48">
        <f>SUM(G8:G12)</f>
        <v>10374.369999999999</v>
      </c>
      <c r="H13" s="39"/>
      <c r="I13" s="47"/>
      <c r="J13" s="7"/>
      <c r="K13" s="7"/>
      <c r="L13" s="39"/>
      <c r="M13" s="8"/>
      <c r="N13" s="9"/>
      <c r="O13" s="7"/>
      <c r="P13" s="48">
        <f>SUM(P8:P12)</f>
        <v>181650465.36000001</v>
      </c>
      <c r="Q13" s="11"/>
      <c r="R13" s="48">
        <f>SUM(R8:R12)</f>
        <v>32697083.764799997</v>
      </c>
      <c r="S13" s="13"/>
      <c r="T13" s="48">
        <f>SUM(T8:T12)</f>
        <v>148953381.5952</v>
      </c>
      <c r="U13" s="48"/>
      <c r="V13" s="33"/>
      <c r="W13" s="33"/>
      <c r="X13" s="33"/>
      <c r="Y13" s="48">
        <f>SUM(Y8:Y12)</f>
        <v>123999657.425</v>
      </c>
    </row>
    <row r="14" spans="3:25" x14ac:dyDescent="0.25">
      <c r="C14" s="64" t="s">
        <v>31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6"/>
      <c r="U14" s="52"/>
    </row>
    <row r="15" spans="3:25" x14ac:dyDescent="0.25">
      <c r="C15" s="67" t="s">
        <v>83</v>
      </c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9"/>
      <c r="U15" s="53"/>
    </row>
    <row r="16" spans="3:25" x14ac:dyDescent="0.25">
      <c r="C16" s="67" t="s">
        <v>84</v>
      </c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9"/>
      <c r="U16" s="53"/>
    </row>
    <row r="17" spans="3:21" x14ac:dyDescent="0.25">
      <c r="C17" s="67" t="s">
        <v>85</v>
      </c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9"/>
      <c r="U17" s="53"/>
    </row>
    <row r="18" spans="3:21" x14ac:dyDescent="0.25">
      <c r="C18" s="67" t="s">
        <v>86</v>
      </c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9"/>
      <c r="U18" s="53"/>
    </row>
    <row r="19" spans="3:21" x14ac:dyDescent="0.25">
      <c r="C19" s="60" t="s">
        <v>88</v>
      </c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2"/>
      <c r="U19" s="54"/>
    </row>
    <row r="21" spans="3:21" x14ac:dyDescent="0.25">
      <c r="J21" t="s">
        <v>62</v>
      </c>
      <c r="K21" s="42">
        <f>SUM(G8:G11)</f>
        <v>10374.369999999999</v>
      </c>
      <c r="P21" s="49"/>
    </row>
    <row r="22" spans="3:21" x14ac:dyDescent="0.25">
      <c r="J22" t="s">
        <v>63</v>
      </c>
      <c r="K22" s="42">
        <f>G12</f>
        <v>0</v>
      </c>
    </row>
    <row r="23" spans="3:21" x14ac:dyDescent="0.25">
      <c r="J23" s="1"/>
    </row>
    <row r="24" spans="3:21" x14ac:dyDescent="0.25">
      <c r="J24" s="1" t="s">
        <v>81</v>
      </c>
      <c r="K24" s="46">
        <f>(SUM(G9:G11)/values!B6)</f>
        <v>1.4222781385281384</v>
      </c>
    </row>
    <row r="25" spans="3:21" x14ac:dyDescent="0.25">
      <c r="J25" t="s">
        <v>82</v>
      </c>
      <c r="K25">
        <f>G8/values!B6</f>
        <v>0.44900072150072157</v>
      </c>
      <c r="M25">
        <f>28+18+25</f>
        <v>71</v>
      </c>
    </row>
    <row r="26" spans="3:21" x14ac:dyDescent="0.25">
      <c r="M26">
        <f>19+3</f>
        <v>22</v>
      </c>
    </row>
    <row r="27" spans="3:21" x14ac:dyDescent="0.25">
      <c r="M27">
        <f>M25*M26</f>
        <v>1562</v>
      </c>
    </row>
  </sheetData>
  <mergeCells count="9">
    <mergeCell ref="V6:Y6"/>
    <mergeCell ref="C19:T19"/>
    <mergeCell ref="C6:T6"/>
    <mergeCell ref="C14:T14"/>
    <mergeCell ref="C15:T15"/>
    <mergeCell ref="C17:T17"/>
    <mergeCell ref="C18:T18"/>
    <mergeCell ref="C13:E13"/>
    <mergeCell ref="C16:T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17"/>
  <sheetViews>
    <sheetView tabSelected="1" topLeftCell="A7" zoomScale="145" zoomScaleNormal="145" workbookViewId="0">
      <selection activeCell="C16" sqref="C16"/>
    </sheetView>
  </sheetViews>
  <sheetFormatPr defaultRowHeight="15" x14ac:dyDescent="0.25"/>
  <cols>
    <col min="2" max="2" width="14" customWidth="1"/>
    <col min="3" max="3" width="14.28515625" customWidth="1"/>
    <col min="4" max="4" width="17.85546875" customWidth="1"/>
    <col min="6" max="6" width="16.42578125" customWidth="1"/>
    <col min="9" max="9" width="13" customWidth="1"/>
    <col min="10" max="10" width="14.140625" customWidth="1"/>
    <col min="12" max="12" width="13.7109375" customWidth="1"/>
  </cols>
  <sheetData>
    <row r="3" spans="2:17" ht="15.75" thickBot="1" x14ac:dyDescent="0.3"/>
    <row r="4" spans="2:17" ht="15.75" thickBot="1" x14ac:dyDescent="0.3">
      <c r="B4" s="73" t="s">
        <v>32</v>
      </c>
      <c r="C4" s="74"/>
      <c r="D4" s="75"/>
      <c r="F4" s="6"/>
      <c r="G4" s="6"/>
      <c r="H4" s="6" t="s">
        <v>46</v>
      </c>
      <c r="I4" s="6" t="s">
        <v>35</v>
      </c>
      <c r="J4" s="18"/>
      <c r="K4" s="18"/>
      <c r="L4" s="18"/>
    </row>
    <row r="5" spans="2:17" x14ac:dyDescent="0.25">
      <c r="B5" s="15" t="s">
        <v>33</v>
      </c>
      <c r="C5" s="16" t="s">
        <v>34</v>
      </c>
      <c r="D5" s="17" t="s">
        <v>35</v>
      </c>
      <c r="F5" s="6" t="s">
        <v>47</v>
      </c>
      <c r="G5" s="6">
        <v>21600</v>
      </c>
      <c r="H5" s="6">
        <f>B6</f>
        <v>5544</v>
      </c>
      <c r="I5" s="28">
        <f>H5*G5</f>
        <v>119750400</v>
      </c>
      <c r="J5" s="6" t="s">
        <v>48</v>
      </c>
      <c r="K5" s="6" t="s">
        <v>49</v>
      </c>
      <c r="L5" s="6" t="s">
        <v>50</v>
      </c>
    </row>
    <row r="6" spans="2:17" ht="15.75" thickBot="1" x14ac:dyDescent="0.3">
      <c r="B6" s="37">
        <f>1800+1800+1944</f>
        <v>5544</v>
      </c>
      <c r="C6" s="45">
        <f>I16</f>
        <v>115500</v>
      </c>
      <c r="D6" s="19">
        <f>C6*B6</f>
        <v>640332000</v>
      </c>
      <c r="F6" s="6" t="s">
        <v>68</v>
      </c>
      <c r="G6" s="6">
        <v>14000</v>
      </c>
      <c r="H6" s="6"/>
      <c r="I6" s="29">
        <f>'Building calculation'!Y13</f>
        <v>123999657.425</v>
      </c>
      <c r="J6" s="29">
        <f>I6+I7</f>
        <v>123999657.425</v>
      </c>
      <c r="K6" s="6">
        <v>1</v>
      </c>
      <c r="L6" s="30">
        <f>J6*K6</f>
        <v>123999657.425</v>
      </c>
    </row>
    <row r="7" spans="2:17" x14ac:dyDescent="0.25">
      <c r="B7" s="18"/>
      <c r="C7" s="18" t="s">
        <v>36</v>
      </c>
      <c r="D7" s="18"/>
      <c r="F7" s="6" t="s">
        <v>67</v>
      </c>
      <c r="G7" s="6">
        <v>12000</v>
      </c>
      <c r="H7" s="6">
        <f>'Building calculation'!K22</f>
        <v>0</v>
      </c>
      <c r="I7" s="29">
        <f t="shared" ref="I7" si="0">H7*G7</f>
        <v>0</v>
      </c>
      <c r="J7" s="18"/>
      <c r="K7" s="18"/>
      <c r="L7" s="18"/>
    </row>
    <row r="8" spans="2:17" ht="15.75" thickBot="1" x14ac:dyDescent="0.3">
      <c r="B8" s="18"/>
      <c r="C8" s="18"/>
      <c r="D8" s="18"/>
      <c r="F8" s="6"/>
      <c r="G8" s="6"/>
      <c r="H8" s="6"/>
      <c r="I8" s="29">
        <f>SUM(I5:I7)</f>
        <v>243750057.42500001</v>
      </c>
      <c r="J8" s="18"/>
      <c r="K8" s="18"/>
      <c r="L8" s="18"/>
    </row>
    <row r="9" spans="2:17" x14ac:dyDescent="0.25">
      <c r="B9" s="20" t="s">
        <v>37</v>
      </c>
      <c r="C9" s="21">
        <f>D6</f>
        <v>640332000</v>
      </c>
      <c r="D9" s="18"/>
      <c r="F9" s="18"/>
      <c r="G9" s="18"/>
      <c r="H9" s="18"/>
      <c r="I9" s="18"/>
      <c r="J9" s="18"/>
      <c r="K9" s="18"/>
      <c r="L9" s="18"/>
    </row>
    <row r="10" spans="2:17" x14ac:dyDescent="0.25">
      <c r="B10" s="22" t="s">
        <v>38</v>
      </c>
      <c r="C10" s="23">
        <f>'Building calculation'!T13</f>
        <v>148953381.5952</v>
      </c>
      <c r="D10" s="18"/>
      <c r="F10" s="18"/>
      <c r="G10" s="18"/>
      <c r="H10" s="6" t="s">
        <v>51</v>
      </c>
      <c r="I10" s="31">
        <f>I5</f>
        <v>119750400</v>
      </c>
      <c r="J10" s="18"/>
      <c r="K10" s="18"/>
      <c r="L10" s="18"/>
    </row>
    <row r="11" spans="2:17" x14ac:dyDescent="0.25">
      <c r="B11" s="22" t="s">
        <v>39</v>
      </c>
      <c r="C11" s="23">
        <f>308*6000</f>
        <v>1848000</v>
      </c>
      <c r="D11" s="18"/>
      <c r="F11" s="18"/>
      <c r="G11" s="18"/>
      <c r="H11" s="6" t="s">
        <v>52</v>
      </c>
      <c r="I11" s="30">
        <f>L6</f>
        <v>123999657.425</v>
      </c>
      <c r="J11" s="18"/>
      <c r="K11" s="18"/>
      <c r="L11" s="18"/>
    </row>
    <row r="12" spans="2:17" x14ac:dyDescent="0.25">
      <c r="B12" s="22" t="s">
        <v>40</v>
      </c>
      <c r="C12" s="25"/>
      <c r="D12" s="18"/>
      <c r="F12" s="18"/>
      <c r="G12" s="18"/>
      <c r="H12" s="6" t="s">
        <v>53</v>
      </c>
      <c r="I12" s="32">
        <f>SUM(I10:I11)</f>
        <v>243750057.42500001</v>
      </c>
      <c r="J12" s="18"/>
      <c r="K12" s="18"/>
      <c r="L12" s="18"/>
    </row>
    <row r="13" spans="2:17" x14ac:dyDescent="0.25">
      <c r="B13" s="22" t="s">
        <v>41</v>
      </c>
      <c r="C13" s="24">
        <f>SUM(C9:C12)</f>
        <v>791133381.59520006</v>
      </c>
      <c r="D13" s="18"/>
    </row>
    <row r="14" spans="2:17" x14ac:dyDescent="0.25">
      <c r="B14" s="22" t="s">
        <v>42</v>
      </c>
      <c r="C14" s="24">
        <f>ROUND(C13,-5)</f>
        <v>791100000</v>
      </c>
      <c r="D14" s="18"/>
      <c r="Q14">
        <v>20000</v>
      </c>
    </row>
    <row r="15" spans="2:17" x14ac:dyDescent="0.25">
      <c r="B15" s="22" t="s">
        <v>43</v>
      </c>
      <c r="C15" s="24">
        <f>0.85*C14</f>
        <v>672435000</v>
      </c>
      <c r="D15" s="18"/>
      <c r="F15" t="s">
        <v>69</v>
      </c>
      <c r="G15" t="s">
        <v>70</v>
      </c>
      <c r="H15" s="43" t="s">
        <v>71</v>
      </c>
      <c r="I15" t="s">
        <v>72</v>
      </c>
      <c r="Q15">
        <f>Q14*10.764</f>
        <v>215280</v>
      </c>
    </row>
    <row r="16" spans="2:17" x14ac:dyDescent="0.25">
      <c r="B16" s="22" t="s">
        <v>44</v>
      </c>
      <c r="C16" s="24">
        <f>0.75*C14</f>
        <v>593325000</v>
      </c>
      <c r="D16" s="18"/>
      <c r="F16">
        <v>110000</v>
      </c>
      <c r="G16" s="44">
        <v>0.05</v>
      </c>
      <c r="H16" s="44"/>
      <c r="I16">
        <f>F16*(1+G16-H16)</f>
        <v>115500</v>
      </c>
    </row>
    <row r="17" spans="2:4" ht="15.75" thickBot="1" x14ac:dyDescent="0.3">
      <c r="B17" s="26" t="s">
        <v>45</v>
      </c>
      <c r="C17" s="27">
        <f>values!C10*0.75</f>
        <v>111715036.1964</v>
      </c>
      <c r="D17" s="18"/>
    </row>
  </sheetData>
  <mergeCells count="1">
    <mergeCell ref="B4:D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J6"/>
  <sheetViews>
    <sheetView workbookViewId="0">
      <selection activeCell="G5" sqref="G5"/>
    </sheetView>
  </sheetViews>
  <sheetFormatPr defaultRowHeight="15" x14ac:dyDescent="0.25"/>
  <cols>
    <col min="4" max="4" width="10" bestFit="1" customWidth="1"/>
    <col min="9" max="9" width="14.28515625" bestFit="1" customWidth="1"/>
  </cols>
  <sheetData>
    <row r="4" spans="3:10" x14ac:dyDescent="0.25">
      <c r="C4" t="s">
        <v>73</v>
      </c>
      <c r="D4" t="s">
        <v>74</v>
      </c>
      <c r="E4" t="s">
        <v>46</v>
      </c>
      <c r="F4" t="s">
        <v>69</v>
      </c>
      <c r="G4" t="s">
        <v>75</v>
      </c>
    </row>
    <row r="5" spans="3:10" x14ac:dyDescent="0.25">
      <c r="C5">
        <v>1</v>
      </c>
      <c r="D5">
        <f>37*10^7</f>
        <v>370000000</v>
      </c>
      <c r="E5">
        <v>3600</v>
      </c>
      <c r="F5">
        <f>D5/E5</f>
        <v>102777.77777777778</v>
      </c>
      <c r="G5" t="s">
        <v>76</v>
      </c>
      <c r="I5" s="37">
        <f>3600*10.764*0.5*2*1400</f>
        <v>54250559.999999993</v>
      </c>
    </row>
    <row r="6" spans="3:10" x14ac:dyDescent="0.25">
      <c r="C6">
        <v>2</v>
      </c>
      <c r="D6">
        <f>40*10^7</f>
        <v>400000000</v>
      </c>
      <c r="E6">
        <v>3160</v>
      </c>
      <c r="F6">
        <f>D6/E6</f>
        <v>126582.27848101266</v>
      </c>
      <c r="G6" t="s">
        <v>77</v>
      </c>
      <c r="I6" s="37">
        <f>3160*10.764*0.5*2*1400</f>
        <v>47619936</v>
      </c>
      <c r="J6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Area Details</vt:lpstr>
      <vt:lpstr>Building calculation</vt:lpstr>
      <vt:lpstr>values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2025-05-08T10:13:08Z</dcterms:modified>
</cp:coreProperties>
</file>