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Land" sheetId="1" r:id="rId1"/>
    <sheet name="Building Sheet" sheetId="3" r:id="rId2"/>
    <sheet name="Boundary Wall" sheetId="5" r:id="rId3"/>
  </sheets>
  <calcPr calcId="152511"/>
</workbook>
</file>

<file path=xl/calcChain.xml><?xml version="1.0" encoding="utf-8"?>
<calcChain xmlns="http://schemas.openxmlformats.org/spreadsheetml/2006/main">
  <c r="X16" i="3" l="1"/>
  <c r="V35" i="3" l="1"/>
  <c r="N14" i="5"/>
  <c r="AD33" i="3"/>
  <c r="AA33" i="3"/>
  <c r="V30" i="3"/>
  <c r="H13" i="1" l="1"/>
  <c r="L4" i="1"/>
  <c r="AC30" i="3"/>
  <c r="R16" i="3"/>
  <c r="R17" i="3" l="1"/>
  <c r="K4" i="1"/>
  <c r="E5" i="1" l="1"/>
  <c r="E4" i="1"/>
  <c r="I17" i="3"/>
  <c r="H16" i="3"/>
  <c r="AC23" i="3"/>
  <c r="AD23" i="3" s="1"/>
  <c r="AB23" i="3"/>
  <c r="V23" i="3" s="1"/>
  <c r="AJ27" i="3"/>
  <c r="AJ28" i="3" s="1"/>
  <c r="AG25" i="3"/>
  <c r="AJ22" i="3"/>
  <c r="AJ20" i="3"/>
  <c r="AI23" i="3"/>
  <c r="AI22" i="3"/>
  <c r="AI18" i="3"/>
  <c r="AE23" i="3"/>
  <c r="X17" i="3" l="1"/>
  <c r="E14" i="5" l="1"/>
  <c r="E11" i="5"/>
  <c r="N16" i="3" l="1"/>
  <c r="Z16" i="3" s="1"/>
  <c r="Z17" i="3" s="1"/>
  <c r="F4" i="1"/>
  <c r="S16" i="3" l="1"/>
  <c r="O34" i="3"/>
  <c r="T16" i="3" l="1"/>
  <c r="S17" i="3"/>
  <c r="D15" i="1"/>
  <c r="F13" i="1"/>
  <c r="F15" i="1" s="1"/>
  <c r="V16" i="3" l="1"/>
  <c r="V17" i="3" s="1"/>
  <c r="T17" i="3"/>
  <c r="AA16" i="3"/>
  <c r="AA17" i="3" s="1"/>
  <c r="I14" i="1" s="1"/>
  <c r="I15" i="1" s="1"/>
  <c r="X8" i="3" l="1"/>
  <c r="H17" i="3" l="1"/>
  <c r="D5" i="1"/>
  <c r="R13" i="3" l="1"/>
  <c r="I13" i="1" l="1"/>
  <c r="H15" i="1"/>
  <c r="F17" i="1" s="1"/>
  <c r="S13" i="3"/>
  <c r="L29" i="1"/>
  <c r="F5" i="1" l="1"/>
  <c r="J5" i="5" l="1"/>
  <c r="H5" i="5"/>
  <c r="K5" i="5" l="1"/>
  <c r="L5" i="5" s="1"/>
  <c r="N5" i="5" l="1"/>
  <c r="N12" i="5" s="1"/>
  <c r="L25" i="1"/>
  <c r="L5" i="1"/>
  <c r="L23" i="1" s="1"/>
  <c r="L24" i="1" l="1"/>
  <c r="L26" i="1" s="1"/>
  <c r="L27" i="1" l="1"/>
  <c r="I19" i="1" l="1"/>
  <c r="L28" i="1"/>
  <c r="I21" i="1" l="1"/>
  <c r="I20" i="1"/>
</calcChain>
</file>

<file path=xl/sharedStrings.xml><?xml version="1.0" encoding="utf-8"?>
<sst xmlns="http://schemas.openxmlformats.org/spreadsheetml/2006/main" count="105" uniqueCount="75">
  <si>
    <t>FMV</t>
  </si>
  <si>
    <t>Discription</t>
  </si>
  <si>
    <t>Total</t>
  </si>
  <si>
    <t>Sr No.</t>
  </si>
  <si>
    <t>Rate Range</t>
  </si>
  <si>
    <t>Discount</t>
  </si>
  <si>
    <t>Primium</t>
  </si>
  <si>
    <t>Rate Adopted</t>
  </si>
  <si>
    <t>Remark</t>
  </si>
  <si>
    <t>Remarks:</t>
  </si>
  <si>
    <t xml:space="preserve"> Circle rate in Rs.</t>
  </si>
  <si>
    <t>CIRCLE RATE</t>
  </si>
  <si>
    <t>Roundoff</t>
  </si>
  <si>
    <t>Type of Structure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</si>
  <si>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</si>
  <si>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</si>
  <si>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</si>
  <si>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</si>
  <si>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</si>
  <si>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</si>
  <si>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</si>
  <si>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>Depreciation amount
(INR)</t>
  </si>
  <si>
    <t>Discounting Factor</t>
  </si>
  <si>
    <t>Depreciated Replacement Market Value
(INR)</t>
  </si>
  <si>
    <t>Land</t>
  </si>
  <si>
    <t>Building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</si>
  <si>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</si>
  <si>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</si>
  <si>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</si>
  <si>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</si>
  <si>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</si>
  <si>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>Floor</t>
  </si>
  <si>
    <r>
      <t xml:space="preserve">Road
</t>
    </r>
    <r>
      <rPr>
        <b/>
        <i/>
        <sz val="10"/>
        <rFont val="Calibri"/>
        <family val="2"/>
        <scheme val="minor"/>
      </rPr>
      <t>(in mtr.)As per approved plan approx.</t>
    </r>
  </si>
  <si>
    <t>VALUATION OF LAND</t>
  </si>
  <si>
    <t>Liq</t>
  </si>
  <si>
    <t xml:space="preserve"> Land Area</t>
  </si>
  <si>
    <t>Land Area</t>
  </si>
  <si>
    <t>Circle rate per sq.mtr.</t>
  </si>
  <si>
    <t xml:space="preserve">S.No. </t>
  </si>
  <si>
    <t xml:space="preserve">Building Name </t>
  </si>
  <si>
    <t>condition of structure</t>
  </si>
  <si>
    <t>Area
(in sq.mtr.)</t>
  </si>
  <si>
    <t>Area
(in sq.ft.)</t>
  </si>
  <si>
    <t>Depreciation</t>
  </si>
  <si>
    <r>
      <t xml:space="preserve">Total Life Consumed 
</t>
    </r>
    <r>
      <rPr>
        <b/>
        <i/>
        <sz val="9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</si>
  <si>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9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</si>
  <si>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9"/>
        <rFont val="Calibri"/>
        <family val="2"/>
        <scheme val="minor"/>
      </rPr>
      <t>(in per sq.ft)</t>
    </r>
  </si>
  <si>
    <t>Area in Sq.ft</t>
  </si>
  <si>
    <t>Area in Sq.mtr</t>
  </si>
  <si>
    <t>Govt.Guideline Value of Building/structure</t>
  </si>
  <si>
    <t>Height (in mtr)</t>
  </si>
  <si>
    <t>Average</t>
  </si>
  <si>
    <t>Depreciated value of Govt. Circle</t>
  </si>
  <si>
    <t>Replacement value of the building Govt.</t>
  </si>
  <si>
    <t>Age of the building according to govt.</t>
  </si>
  <si>
    <t>Height (in ft)</t>
  </si>
  <si>
    <t>Total:</t>
  </si>
  <si>
    <t>Total GV L&amp;B</t>
  </si>
  <si>
    <t>RV</t>
  </si>
  <si>
    <t>DSV</t>
  </si>
  <si>
    <t>GI Shed Rate more than 20ft ht</t>
  </si>
  <si>
    <t xml:space="preserve">Boundary Wall </t>
  </si>
  <si>
    <t>Insurance</t>
  </si>
  <si>
    <t xml:space="preserve">Insurance </t>
  </si>
  <si>
    <t xml:space="preserve"> RCC Structure </t>
  </si>
  <si>
    <t xml:space="preserve">Land Value </t>
  </si>
  <si>
    <t>After Depression</t>
  </si>
  <si>
    <t>Basic rate on Land Area</t>
  </si>
  <si>
    <t>Villa No 195</t>
  </si>
  <si>
    <t>70000-75000</t>
  </si>
  <si>
    <t>Area in sq yard</t>
  </si>
  <si>
    <t xml:space="preserve">Rate in sq yard </t>
  </si>
  <si>
    <t xml:space="preserve">GF+FF+Mumty </t>
  </si>
  <si>
    <t xml:space="preserve">Gate </t>
  </si>
  <si>
    <t xml:space="preserve">Circle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</si>
</sst>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  <numFmt numFmtId="171" formatCode="_ * #,##0_ ;_ * \-#,##0_ ;_ * &quot;-&quot;?_ ;_ @_ "/>
    <numFmt numFmtId="172" formatCode="_ * #,##0.0_ ;_ * \-#,##0.0_ ;_ * &quot;-&quot;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164" fontId="0" fillId="0" borderId="1" xfId="1" applyNumberFormat="1" applyFont="1" applyBorder="1"/>
    <xf numFmtId="43" fontId="0" fillId="0" borderId="0" xfId="0" applyNumberFormat="1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/>
    <xf numFmtId="0" fontId="2" fillId="5" borderId="1" xfId="0" applyFont="1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2" fillId="6" borderId="1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7" fillId="8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5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164" fontId="0" fillId="0" borderId="0" xfId="0" applyNumberFormat="1"/>
    <xf numFmtId="43" fontId="0" fillId="0" borderId="2" xfId="1" applyFont="1" applyBorder="1" applyAlignment="1">
      <alignment horizontal="center" vertical="center"/>
    </xf>
    <xf numFmtId="164" fontId="0" fillId="0" borderId="0" xfId="1" applyNumberFormat="1" applyFont="1" applyBorder="1"/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0" fillId="0" borderId="0" xfId="1" applyNumberFormat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164" fontId="9" fillId="0" borderId="0" xfId="1" applyNumberFormat="1" applyFont="1" applyFill="1" applyBorder="1" applyAlignment="1">
      <alignment horizontal="center" vertical="center" wrapText="1"/>
    </xf>
    <xf numFmtId="9" fontId="9" fillId="0" borderId="0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43" fontId="12" fillId="8" borderId="1" xfId="1" applyFont="1" applyFill="1" applyBorder="1" applyAlignment="1">
      <alignment vertical="center" wrapText="1"/>
    </xf>
    <xf numFmtId="164" fontId="15" fillId="0" borderId="1" xfId="1" applyNumberFormat="1" applyFont="1" applyFill="1" applyBorder="1" applyAlignment="1">
      <alignment vertical="center"/>
    </xf>
    <xf numFmtId="0" fontId="0" fillId="8" borderId="1" xfId="0" applyFill="1" applyBorder="1"/>
    <xf numFmtId="164" fontId="0" fillId="9" borderId="1" xfId="0" applyNumberFormat="1" applyFill="1" applyBorder="1"/>
    <xf numFmtId="0" fontId="15" fillId="1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9" fontId="15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0" fontId="0" fillId="0" borderId="0" xfId="0" applyFill="1" applyBorder="1"/>
    <xf numFmtId="170" fontId="0" fillId="0" borderId="1" xfId="0" applyNumberFormat="1" applyBorder="1"/>
    <xf numFmtId="43" fontId="0" fillId="0" borderId="1" xfId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0" fillId="0" borderId="1" xfId="3" quotePrefix="1" applyNumberFormat="1" applyFont="1" applyFill="1" applyBorder="1" applyAlignment="1">
      <alignment horizontal="center" vertical="center"/>
    </xf>
    <xf numFmtId="10" fontId="1" fillId="0" borderId="1" xfId="2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71" fontId="0" fillId="0" borderId="0" xfId="0" applyNumberFormat="1" applyBorder="1"/>
    <xf numFmtId="164" fontId="16" fillId="10" borderId="1" xfId="0" applyNumberFormat="1" applyFont="1" applyFill="1" applyBorder="1" applyAlignment="1">
      <alignment vertical="center"/>
    </xf>
    <xf numFmtId="164" fontId="16" fillId="10" borderId="1" xfId="1" applyNumberFormat="1" applyFont="1" applyFill="1" applyBorder="1" applyAlignment="1">
      <alignment vertical="center"/>
    </xf>
    <xf numFmtId="43" fontId="16" fillId="10" borderId="1" xfId="1" applyFont="1" applyFill="1" applyBorder="1" applyAlignment="1">
      <alignment vertical="center"/>
    </xf>
    <xf numFmtId="43" fontId="0" fillId="0" borderId="0" xfId="0" applyNumberFormat="1" applyBorder="1"/>
    <xf numFmtId="0" fontId="0" fillId="0" borderId="0" xfId="0" applyBorder="1"/>
    <xf numFmtId="164" fontId="7" fillId="2" borderId="1" xfId="1" applyNumberFormat="1" applyFont="1" applyFill="1" applyBorder="1" applyAlignment="1">
      <alignment horizontal="center" vertical="center" wrapText="1"/>
    </xf>
    <xf numFmtId="170" fontId="0" fillId="3" borderId="1" xfId="5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11" borderId="1" xfId="0" applyFill="1" applyBorder="1"/>
    <xf numFmtId="2" fontId="0" fillId="11" borderId="1" xfId="0" applyNumberFormat="1" applyFill="1" applyBorder="1"/>
    <xf numFmtId="164" fontId="0" fillId="0" borderId="1" xfId="1" applyNumberFormat="1" applyFont="1" applyFill="1" applyBorder="1"/>
    <xf numFmtId="43" fontId="0" fillId="11" borderId="1" xfId="0" applyNumberFormat="1" applyFill="1" applyBorder="1"/>
    <xf numFmtId="43" fontId="0" fillId="11" borderId="1" xfId="1" applyFont="1" applyFill="1" applyBorder="1"/>
    <xf numFmtId="0" fontId="0" fillId="0" borderId="1" xfId="0" applyFill="1" applyBorder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9" fontId="15" fillId="0" borderId="1" xfId="1" applyNumberFormat="1" applyFont="1" applyFill="1" applyBorder="1" applyAlignment="1">
      <alignment vertical="center"/>
    </xf>
    <xf numFmtId="43" fontId="2" fillId="0" borderId="3" xfId="2" applyNumberFormat="1" applyFont="1" applyBorder="1" applyAlignment="1">
      <alignment vertical="center"/>
    </xf>
    <xf numFmtId="43" fontId="15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Fill="1"/>
    <xf numFmtId="43" fontId="0" fillId="0" borderId="0" xfId="0" applyNumberFormat="1" applyFill="1" applyBorder="1"/>
    <xf numFmtId="43" fontId="0" fillId="0" borderId="3" xfId="1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172" fontId="0" fillId="8" borderId="1" xfId="0" applyNumberFormat="1" applyFill="1" applyBorder="1"/>
    <xf numFmtId="0" fontId="15" fillId="0" borderId="1" xfId="0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0" fontId="0" fillId="0" borderId="0" xfId="0" applyNumberFormat="1"/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1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C1" zoomScale="85" zoomScaleNormal="85" workbookViewId="0">
      <selection activeCell="I15" sqref="I15"/>
    </sheetView>
  </sheetViews>
  <sheetFormatPr defaultRowHeight="15" x14ac:dyDescent="0.25"/>
  <cols>
    <col min="2" max="2" width="17.7109375" customWidth="1"/>
    <col min="3" max="5" width="14.140625" customWidth="1"/>
    <col min="6" max="6" width="24.42578125" customWidth="1"/>
    <col min="7" max="7" width="22.42578125" customWidth="1"/>
    <col min="8" max="8" width="16.85546875" customWidth="1"/>
    <col min="9" max="9" width="19.140625" customWidth="1"/>
    <col min="10" max="10" width="15.28515625" bestFit="1" customWidth="1"/>
    <col min="11" max="11" width="19.28515625" customWidth="1"/>
    <col min="12" max="12" width="18.85546875" customWidth="1"/>
    <col min="13" max="13" width="24.28515625" customWidth="1"/>
    <col min="14" max="14" width="17.28515625" customWidth="1"/>
    <col min="15" max="15" width="16.7109375" bestFit="1" customWidth="1"/>
    <col min="16" max="16" width="13.28515625" bestFit="1" customWidth="1"/>
    <col min="17" max="17" width="11.5703125" bestFit="1" customWidth="1"/>
    <col min="18" max="18" width="17.28515625" customWidth="1"/>
    <col min="20" max="21" width="11.5703125" bestFit="1" customWidth="1"/>
  </cols>
  <sheetData>
    <row r="1" spans="2:20" x14ac:dyDescent="0.25">
      <c r="G1" s="31"/>
    </row>
    <row r="2" spans="2:20" x14ac:dyDescent="0.25">
      <c r="B2" s="20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2:20" ht="30" x14ac:dyDescent="0.25">
      <c r="B3" s="8" t="s">
        <v>3</v>
      </c>
      <c r="C3" s="8" t="s">
        <v>1</v>
      </c>
      <c r="D3" s="19" t="s">
        <v>48</v>
      </c>
      <c r="E3" s="19" t="s">
        <v>70</v>
      </c>
      <c r="F3" s="19" t="s">
        <v>47</v>
      </c>
      <c r="G3" s="19" t="s">
        <v>4</v>
      </c>
      <c r="H3" s="19" t="s">
        <v>67</v>
      </c>
      <c r="I3" s="8" t="s">
        <v>5</v>
      </c>
      <c r="J3" s="8" t="s">
        <v>6</v>
      </c>
      <c r="K3" s="8" t="s">
        <v>7</v>
      </c>
      <c r="L3" s="8" t="s">
        <v>0</v>
      </c>
      <c r="M3" s="8" t="s">
        <v>8</v>
      </c>
    </row>
    <row r="4" spans="2:20" x14ac:dyDescent="0.25">
      <c r="B4" s="5">
        <v>1</v>
      </c>
      <c r="C4" s="9" t="s">
        <v>35</v>
      </c>
      <c r="D4" s="68">
        <v>201.08</v>
      </c>
      <c r="E4" s="32">
        <f>D4*1.196</f>
        <v>240.49168</v>
      </c>
      <c r="F4" s="32">
        <f>D4*10.7639</f>
        <v>2164.4050120000002</v>
      </c>
      <c r="G4" s="73" t="s">
        <v>69</v>
      </c>
      <c r="H4" s="34">
        <v>75000</v>
      </c>
      <c r="I4" s="74">
        <v>0</v>
      </c>
      <c r="J4" s="74">
        <v>0</v>
      </c>
      <c r="K4" s="34">
        <f>H4</f>
        <v>75000</v>
      </c>
      <c r="L4" s="35">
        <f>K4*E4</f>
        <v>18036876</v>
      </c>
      <c r="M4" s="7"/>
    </row>
    <row r="5" spans="2:20" x14ac:dyDescent="0.25">
      <c r="B5" s="111" t="s">
        <v>2</v>
      </c>
      <c r="C5" s="112"/>
      <c r="D5" s="68">
        <f>SUM(D4)</f>
        <v>201.08</v>
      </c>
      <c r="E5" s="98">
        <f>E4</f>
        <v>240.49168</v>
      </c>
      <c r="F5" s="93">
        <f>SUM(F4)</f>
        <v>2164.4050120000002</v>
      </c>
      <c r="G5" s="16"/>
      <c r="H5" s="16"/>
      <c r="I5" s="16"/>
      <c r="J5" s="16"/>
      <c r="K5" s="16" t="s">
        <v>71</v>
      </c>
      <c r="L5" s="14">
        <f>SUM(L4:L4)</f>
        <v>18036876</v>
      </c>
      <c r="M5" s="6"/>
      <c r="O5" s="17"/>
    </row>
    <row r="6" spans="2:20" x14ac:dyDescent="0.25">
      <c r="B6" s="114" t="s">
        <v>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20" x14ac:dyDescent="0.25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  <c r="O7" s="13"/>
    </row>
    <row r="8" spans="2:20" x14ac:dyDescent="0.25"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6"/>
    </row>
    <row r="9" spans="2:20" x14ac:dyDescent="0.25"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1" spans="2:20" x14ac:dyDescent="0.25">
      <c r="B11" s="11" t="s">
        <v>11</v>
      </c>
      <c r="C11" s="12"/>
      <c r="D11" s="12"/>
      <c r="E11" s="12"/>
      <c r="F11" s="12"/>
      <c r="G11" s="12"/>
      <c r="H11" s="12"/>
      <c r="I11" s="12"/>
      <c r="N11" s="13"/>
    </row>
    <row r="12" spans="2:20" x14ac:dyDescent="0.25">
      <c r="B12" s="3" t="s">
        <v>3</v>
      </c>
      <c r="C12" s="3" t="s">
        <v>1</v>
      </c>
      <c r="D12" s="19" t="s">
        <v>48</v>
      </c>
      <c r="E12" s="19"/>
      <c r="F12" s="19" t="s">
        <v>47</v>
      </c>
      <c r="G12" s="4" t="s">
        <v>37</v>
      </c>
      <c r="H12" s="3" t="s">
        <v>10</v>
      </c>
      <c r="I12" s="104" t="s">
        <v>66</v>
      </c>
    </row>
    <row r="13" spans="2:20" x14ac:dyDescent="0.25">
      <c r="B13" s="5">
        <v>1</v>
      </c>
      <c r="C13" s="9" t="s">
        <v>36</v>
      </c>
      <c r="D13" s="68">
        <v>201.08</v>
      </c>
      <c r="E13" s="32"/>
      <c r="F13" s="32">
        <f>D13*10.7639</f>
        <v>2164.4050120000002</v>
      </c>
      <c r="G13" s="75">
        <v>15500</v>
      </c>
      <c r="H13" s="1">
        <f>G13*D13</f>
        <v>3116740</v>
      </c>
      <c r="I13" s="31">
        <f>H13</f>
        <v>3116740</v>
      </c>
      <c r="T13" s="33"/>
    </row>
    <row r="14" spans="2:20" x14ac:dyDescent="0.25">
      <c r="B14" s="5">
        <v>2</v>
      </c>
      <c r="C14" s="9" t="s">
        <v>25</v>
      </c>
      <c r="D14" s="68">
        <v>0</v>
      </c>
      <c r="E14" s="98"/>
      <c r="F14" s="98">
        <v>0</v>
      </c>
      <c r="G14" s="75">
        <v>0</v>
      </c>
      <c r="H14" s="1">
        <v>0</v>
      </c>
      <c r="I14" s="31">
        <f>'Building Sheet'!AA17</f>
        <v>3378667.3169825347</v>
      </c>
      <c r="T14" s="33"/>
    </row>
    <row r="15" spans="2:20" x14ac:dyDescent="0.25">
      <c r="B15" s="113" t="s">
        <v>2</v>
      </c>
      <c r="C15" s="113"/>
      <c r="D15" s="68">
        <f>SUM(D13)</f>
        <v>201.08</v>
      </c>
      <c r="E15" s="98"/>
      <c r="F15" s="93">
        <f>SUM(F13)</f>
        <v>2164.4050120000002</v>
      </c>
      <c r="G15" s="10"/>
      <c r="H15" s="15">
        <f>SUM(H13:H14)</f>
        <v>3116740</v>
      </c>
      <c r="I15" s="15">
        <f>SUM(I13:I14)</f>
        <v>6495407.3169825347</v>
      </c>
      <c r="S15" s="33"/>
    </row>
    <row r="16" spans="2:20" x14ac:dyDescent="0.25">
      <c r="T16" s="33"/>
    </row>
    <row r="17" spans="1:21" x14ac:dyDescent="0.25">
      <c r="D17" s="85" t="s">
        <v>57</v>
      </c>
      <c r="E17" s="85"/>
      <c r="F17" s="84">
        <f>H15+'Building Sheet'!AA17</f>
        <v>6495407.3169825347</v>
      </c>
      <c r="U17" s="33"/>
    </row>
    <row r="18" spans="1:21" x14ac:dyDescent="0.25">
      <c r="A18" s="36"/>
      <c r="B18" s="36"/>
      <c r="C18" s="36"/>
      <c r="D18" s="36"/>
      <c r="E18" s="36"/>
      <c r="F18" s="36"/>
      <c r="G18" s="37"/>
      <c r="H18" s="37"/>
      <c r="I18" s="37"/>
    </row>
    <row r="19" spans="1:21" x14ac:dyDescent="0.25">
      <c r="G19" s="39"/>
      <c r="H19" s="86" t="s">
        <v>0</v>
      </c>
      <c r="I19" s="91">
        <f>L27</f>
        <v>22100000</v>
      </c>
    </row>
    <row r="20" spans="1:21" x14ac:dyDescent="0.25">
      <c r="G20" s="39"/>
      <c r="H20" s="88" t="s">
        <v>58</v>
      </c>
      <c r="I20" s="87">
        <f>I19*0.85</f>
        <v>18785000</v>
      </c>
    </row>
    <row r="21" spans="1:21" x14ac:dyDescent="0.25">
      <c r="C21" s="2"/>
      <c r="G21" s="39"/>
      <c r="H21" s="89" t="s">
        <v>59</v>
      </c>
      <c r="I21" s="87">
        <f>I19*0.75</f>
        <v>16575000</v>
      </c>
    </row>
    <row r="22" spans="1:21" x14ac:dyDescent="0.25">
      <c r="H22" s="39"/>
      <c r="I22" s="39"/>
      <c r="K22" s="120"/>
      <c r="L22" s="120"/>
    </row>
    <row r="23" spans="1:21" x14ac:dyDescent="0.25">
      <c r="G23" s="39"/>
      <c r="H23" s="39"/>
      <c r="I23" s="39"/>
      <c r="K23" s="18" t="s">
        <v>24</v>
      </c>
      <c r="L23" s="24">
        <f>Land!L5</f>
        <v>18036876</v>
      </c>
    </row>
    <row r="24" spans="1:21" x14ac:dyDescent="0.25">
      <c r="G24" s="39"/>
      <c r="H24" s="39"/>
      <c r="I24" s="39"/>
      <c r="K24" s="18" t="s">
        <v>25</v>
      </c>
      <c r="L24" s="24">
        <f>'Building Sheet'!V17</f>
        <v>4034756.923076923</v>
      </c>
    </row>
    <row r="25" spans="1:21" x14ac:dyDescent="0.25">
      <c r="G25" s="39"/>
      <c r="H25" s="39"/>
      <c r="I25" s="39"/>
      <c r="K25" s="18" t="s">
        <v>61</v>
      </c>
      <c r="L25" s="24">
        <f>'Boundary Wall'!N14</f>
        <v>59999.999999999993</v>
      </c>
    </row>
    <row r="26" spans="1:21" x14ac:dyDescent="0.25">
      <c r="A26" s="110"/>
      <c r="B26" s="110"/>
      <c r="C26" s="110"/>
      <c r="D26" s="110"/>
      <c r="E26" s="110"/>
      <c r="F26" s="110"/>
      <c r="G26" s="110"/>
      <c r="H26" s="110"/>
      <c r="I26" s="40"/>
      <c r="K26" s="18" t="s">
        <v>2</v>
      </c>
      <c r="L26" s="24">
        <f>SUM(L23:L25)</f>
        <v>22131632.923076924</v>
      </c>
    </row>
    <row r="27" spans="1:21" x14ac:dyDescent="0.25">
      <c r="H27">
        <v>44</v>
      </c>
      <c r="K27" s="18" t="s">
        <v>12</v>
      </c>
      <c r="L27" s="24">
        <f>ROUND(L26,-5)</f>
        <v>22100000</v>
      </c>
    </row>
    <row r="28" spans="1:21" x14ac:dyDescent="0.25">
      <c r="K28" s="18" t="s">
        <v>34</v>
      </c>
      <c r="L28" s="25">
        <f>L27*0.7</f>
        <v>15469999.999999998</v>
      </c>
    </row>
    <row r="29" spans="1:21" x14ac:dyDescent="0.25">
      <c r="K29" s="99" t="s">
        <v>62</v>
      </c>
      <c r="L29" s="25">
        <f>'Building Sheet'!R17*0.8</f>
        <v>3746560</v>
      </c>
    </row>
  </sheetData>
  <mergeCells count="8">
    <mergeCell ref="A26:H26"/>
    <mergeCell ref="B5:C5"/>
    <mergeCell ref="B15:C15"/>
    <mergeCell ref="B6:M6"/>
    <mergeCell ref="B7:M7"/>
    <mergeCell ref="B8:M8"/>
    <mergeCell ref="B9:M9"/>
    <mergeCell ref="K22:L22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5"/>
  <sheetViews>
    <sheetView topLeftCell="A4" zoomScale="85" zoomScaleNormal="85" workbookViewId="0">
      <selection activeCell="AA16" sqref="AA16"/>
    </sheetView>
  </sheetViews>
  <sheetFormatPr defaultRowHeight="15" x14ac:dyDescent="0.25"/>
  <cols>
    <col min="2" max="2" width="4.140625" customWidth="1"/>
    <col min="3" max="3" width="4.85546875" bestFit="1" customWidth="1"/>
    <col min="4" max="4" width="12.28515625" customWidth="1"/>
    <col min="5" max="5" width="12.7109375" hidden="1" customWidth="1"/>
    <col min="6" max="6" width="13.85546875" hidden="1" customWidth="1"/>
    <col min="7" max="7" width="12.5703125" hidden="1" customWidth="1"/>
    <col min="8" max="8" width="11.42578125" hidden="1" customWidth="1"/>
    <col min="9" max="9" width="9.85546875" bestFit="1" customWidth="1"/>
    <col min="10" max="10" width="7.85546875" hidden="1" customWidth="1"/>
    <col min="11" max="11" width="7.5703125" bestFit="1" customWidth="1"/>
    <col min="12" max="12" width="11" hidden="1" customWidth="1"/>
    <col min="13" max="13" width="10.42578125" hidden="1" customWidth="1"/>
    <col min="14" max="14" width="11.85546875" customWidth="1"/>
    <col min="15" max="15" width="12.7109375" hidden="1" customWidth="1"/>
    <col min="16" max="16" width="14.7109375" hidden="1" customWidth="1"/>
    <col min="17" max="17" width="13.7109375" bestFit="1" customWidth="1"/>
    <col min="18" max="18" width="20" hidden="1" customWidth="1"/>
    <col min="19" max="19" width="13.5703125" hidden="1" customWidth="1"/>
    <col min="20" max="20" width="13.7109375" hidden="1" customWidth="1"/>
    <col min="21" max="21" width="19.42578125" hidden="1" customWidth="1"/>
    <col min="22" max="22" width="14.7109375" customWidth="1"/>
    <col min="23" max="23" width="11.5703125" customWidth="1"/>
    <col min="24" max="24" width="19.5703125" customWidth="1"/>
    <col min="25" max="25" width="19.28515625" customWidth="1"/>
    <col min="26" max="26" width="14.5703125" customWidth="1"/>
    <col min="27" max="27" width="22" customWidth="1"/>
    <col min="28" max="28" width="10" bestFit="1" customWidth="1"/>
  </cols>
  <sheetData>
    <row r="3" spans="2:28" ht="15.6" customHeight="1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06"/>
      <c r="X3" s="70"/>
      <c r="Y3" s="70"/>
      <c r="Z3" s="70"/>
    </row>
    <row r="4" spans="2:28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8" x14ac:dyDescent="0.25">
      <c r="B5" s="44"/>
      <c r="C5" s="45"/>
      <c r="D5" s="45"/>
      <c r="E5" s="46"/>
      <c r="G5" s="38"/>
      <c r="H5" s="39"/>
      <c r="I5" s="47"/>
      <c r="J5" s="48"/>
      <c r="K5" s="48"/>
      <c r="L5" s="48"/>
      <c r="M5" s="48"/>
      <c r="N5" s="49"/>
      <c r="O5" s="50"/>
      <c r="P5" s="48"/>
      <c r="Q5" s="41"/>
      <c r="R5" s="51"/>
      <c r="S5" s="52"/>
      <c r="T5" s="52"/>
      <c r="U5" s="42"/>
      <c r="V5" s="41"/>
      <c r="W5" s="41"/>
      <c r="X5" s="41"/>
      <c r="Y5" s="41"/>
      <c r="Z5" s="41"/>
    </row>
    <row r="6" spans="2:28" x14ac:dyDescent="0.25">
      <c r="B6" s="44"/>
      <c r="C6" s="45"/>
      <c r="D6" s="45"/>
      <c r="E6" s="53"/>
      <c r="G6" s="38"/>
      <c r="H6" s="39"/>
      <c r="I6" s="47"/>
      <c r="J6" s="48"/>
      <c r="K6" s="48"/>
      <c r="L6" s="48"/>
      <c r="M6" s="48"/>
      <c r="N6" s="49"/>
      <c r="O6" s="50"/>
      <c r="P6" s="48"/>
      <c r="Q6" s="41"/>
      <c r="R6" s="51"/>
      <c r="S6" s="52"/>
      <c r="T6" s="52"/>
      <c r="U6" s="42"/>
      <c r="V6" s="41"/>
      <c r="W6" s="41"/>
      <c r="X6" s="41"/>
      <c r="Y6" s="41"/>
      <c r="Z6" s="41"/>
    </row>
    <row r="7" spans="2:28" ht="30" x14ac:dyDescent="0.25">
      <c r="B7" s="125"/>
      <c r="C7" s="125"/>
      <c r="D7" s="125"/>
      <c r="E7" s="43"/>
      <c r="F7" s="54"/>
      <c r="G7" s="54"/>
      <c r="H7" s="39"/>
      <c r="I7" s="55"/>
      <c r="J7" s="55"/>
      <c r="K7" s="55"/>
      <c r="L7" s="55"/>
      <c r="M7" s="55"/>
      <c r="N7" s="55"/>
      <c r="O7" s="55"/>
      <c r="P7" s="55"/>
      <c r="Q7" s="54"/>
      <c r="R7" s="54"/>
      <c r="S7" s="54"/>
      <c r="T7" s="54"/>
      <c r="U7" s="54"/>
      <c r="V7" s="54"/>
      <c r="W7" s="54"/>
      <c r="X7" s="82" t="s">
        <v>60</v>
      </c>
      <c r="Y7" s="54"/>
      <c r="Z7" s="54"/>
      <c r="AA7" s="2"/>
    </row>
    <row r="8" spans="2:28" x14ac:dyDescent="0.25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08"/>
      <c r="X8" s="95">
        <f>8000*1.3</f>
        <v>10400</v>
      </c>
      <c r="Y8" s="72"/>
      <c r="Z8" s="72"/>
    </row>
    <row r="9" spans="2:28" x14ac:dyDescent="0.25"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08"/>
      <c r="X9" s="72"/>
      <c r="Y9" s="72"/>
      <c r="Z9" s="72"/>
    </row>
    <row r="10" spans="2:28" x14ac:dyDescent="0.25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07"/>
      <c r="X10" s="71"/>
      <c r="Y10" s="71"/>
      <c r="Z10" s="71"/>
    </row>
    <row r="11" spans="2:28" x14ac:dyDescent="0.25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08"/>
      <c r="X11" s="72"/>
      <c r="Y11" s="72"/>
      <c r="Z11" s="72"/>
    </row>
    <row r="13" spans="2:28" x14ac:dyDescent="0.25">
      <c r="Q13" s="66" t="s">
        <v>63</v>
      </c>
      <c r="R13" s="102">
        <f>R17*0.8</f>
        <v>3746560</v>
      </c>
      <c r="S13" s="60">
        <f>R17*0.8</f>
        <v>3746560</v>
      </c>
      <c r="T13" s="80"/>
      <c r="U13" s="81"/>
      <c r="V13" s="76"/>
      <c r="W13" s="76"/>
      <c r="X13" s="76"/>
      <c r="Y13" s="76"/>
      <c r="Z13" s="76"/>
    </row>
    <row r="15" spans="2:28" ht="36" x14ac:dyDescent="0.25">
      <c r="C15" s="56" t="s">
        <v>38</v>
      </c>
      <c r="D15" s="56" t="s">
        <v>31</v>
      </c>
      <c r="E15" s="56" t="s">
        <v>39</v>
      </c>
      <c r="F15" s="56" t="s">
        <v>13</v>
      </c>
      <c r="G15" s="56" t="s">
        <v>40</v>
      </c>
      <c r="H15" s="57" t="s">
        <v>41</v>
      </c>
      <c r="I15" s="56" t="s">
        <v>42</v>
      </c>
      <c r="J15" s="56" t="s">
        <v>50</v>
      </c>
      <c r="K15" s="56" t="s">
        <v>55</v>
      </c>
      <c r="L15" s="56" t="s">
        <v>14</v>
      </c>
      <c r="M15" s="56" t="s">
        <v>15</v>
      </c>
      <c r="N15" s="56" t="s">
        <v>44</v>
      </c>
      <c r="O15" s="56" t="s">
        <v>45</v>
      </c>
      <c r="P15" s="56" t="s">
        <v>18</v>
      </c>
      <c r="Q15" s="56" t="s">
        <v>46</v>
      </c>
      <c r="R15" s="56" t="s">
        <v>20</v>
      </c>
      <c r="S15" s="56" t="s">
        <v>43</v>
      </c>
      <c r="T15" s="56" t="s">
        <v>21</v>
      </c>
      <c r="U15" s="56" t="s">
        <v>22</v>
      </c>
      <c r="V15" s="56" t="s">
        <v>23</v>
      </c>
      <c r="W15" s="56" t="s">
        <v>74</v>
      </c>
      <c r="X15" s="56" t="s">
        <v>53</v>
      </c>
      <c r="Y15" s="56" t="s">
        <v>54</v>
      </c>
      <c r="Z15" s="56" t="s">
        <v>52</v>
      </c>
      <c r="AA15" s="56" t="s">
        <v>49</v>
      </c>
      <c r="AB15" s="105"/>
    </row>
    <row r="16" spans="2:28" ht="32.25" customHeight="1" x14ac:dyDescent="0.25">
      <c r="C16" s="69">
        <v>1</v>
      </c>
      <c r="D16" s="62" t="s">
        <v>72</v>
      </c>
      <c r="E16" s="63" t="s">
        <v>68</v>
      </c>
      <c r="F16" s="100" t="s">
        <v>64</v>
      </c>
      <c r="G16" s="63" t="s">
        <v>51</v>
      </c>
      <c r="H16" s="94">
        <f>I16/10.764</f>
        <v>271.92493496841325</v>
      </c>
      <c r="I16" s="58">
        <v>2927</v>
      </c>
      <c r="J16" s="101">
        <v>0.92</v>
      </c>
      <c r="K16" s="101">
        <v>10</v>
      </c>
      <c r="L16" s="62">
        <v>2015</v>
      </c>
      <c r="M16" s="62">
        <v>2025</v>
      </c>
      <c r="N16" s="63">
        <f>M16-L16</f>
        <v>10</v>
      </c>
      <c r="O16" s="103">
        <v>65</v>
      </c>
      <c r="P16" s="64">
        <v>0.1</v>
      </c>
      <c r="Q16" s="63">
        <v>1600</v>
      </c>
      <c r="R16" s="65">
        <f>Q16*I16</f>
        <v>4683200</v>
      </c>
      <c r="S16" s="65">
        <f>R16*((1-P16)/O16*IF(O16&gt;N16,N16,O16))</f>
        <v>648443.07692307699</v>
      </c>
      <c r="T16" s="58">
        <f>R16-S16</f>
        <v>4034756.923076923</v>
      </c>
      <c r="U16" s="92">
        <v>0</v>
      </c>
      <c r="V16" s="58">
        <f>T16*(1-U16)</f>
        <v>4034756.923076923</v>
      </c>
      <c r="W16" s="58">
        <v>14000</v>
      </c>
      <c r="X16" s="58">
        <f>W16*H16</f>
        <v>3806949.0895577855</v>
      </c>
      <c r="Y16" s="58">
        <v>80</v>
      </c>
      <c r="Z16" s="58">
        <f>((X16*N16*9)/(Y16*10))</f>
        <v>428281.77257525088</v>
      </c>
      <c r="AA16" s="65">
        <f>X16-Z16</f>
        <v>3378667.3169825347</v>
      </c>
    </row>
    <row r="17" spans="3:36" x14ac:dyDescent="0.25">
      <c r="C17" s="121" t="s">
        <v>56</v>
      </c>
      <c r="D17" s="121"/>
      <c r="E17" s="121"/>
      <c r="F17" s="121"/>
      <c r="G17" s="121"/>
      <c r="H17" s="79">
        <f>SUM(H16:H16)</f>
        <v>271.92493496841325</v>
      </c>
      <c r="I17" s="78">
        <f>SUM(I16:I16)</f>
        <v>2927</v>
      </c>
      <c r="J17" s="61"/>
      <c r="K17" s="61"/>
      <c r="L17" s="61"/>
      <c r="M17" s="61"/>
      <c r="N17" s="61"/>
      <c r="O17" s="61"/>
      <c r="P17" s="61"/>
      <c r="Q17" s="61"/>
      <c r="R17" s="77">
        <f>SUM(R16:R16)</f>
        <v>4683200</v>
      </c>
      <c r="S17" s="77">
        <f>SUM(S16:S16)</f>
        <v>648443.07692307699</v>
      </c>
      <c r="T17" s="78">
        <f>SUM(T16:T16)</f>
        <v>4034756.923076923</v>
      </c>
      <c r="U17" s="61"/>
      <c r="V17" s="77">
        <f>SUM(V16:V16)</f>
        <v>4034756.923076923</v>
      </c>
      <c r="W17" s="77"/>
      <c r="X17" s="77">
        <f>SUM(X16:X16)</f>
        <v>3806949.0895577855</v>
      </c>
      <c r="Y17" s="77"/>
      <c r="Z17" s="77">
        <f>SUM(Z16:Z16)</f>
        <v>428281.77257525088</v>
      </c>
      <c r="AA17" s="77">
        <f>SUM(AA16:AA16)</f>
        <v>3378667.3169825347</v>
      </c>
    </row>
    <row r="18" spans="3:36" x14ac:dyDescent="0.25">
      <c r="AH18">
        <v>201.08</v>
      </c>
      <c r="AI18">
        <f>AH18*10.764</f>
        <v>2164.4251199999999</v>
      </c>
    </row>
    <row r="20" spans="3:36" x14ac:dyDescent="0.25">
      <c r="AB20">
        <v>1916</v>
      </c>
      <c r="AC20">
        <v>1406</v>
      </c>
      <c r="AE20">
        <v>1916</v>
      </c>
      <c r="AF20">
        <v>1406</v>
      </c>
      <c r="AI20">
        <v>1406</v>
      </c>
      <c r="AJ20">
        <f>AI20*2</f>
        <v>2812</v>
      </c>
    </row>
    <row r="21" spans="3:36" x14ac:dyDescent="0.25">
      <c r="AB21">
        <v>1695</v>
      </c>
      <c r="AC21">
        <v>1406</v>
      </c>
      <c r="AE21">
        <v>1695.2</v>
      </c>
      <c r="AF21">
        <v>1406</v>
      </c>
      <c r="AJ21">
        <v>1075</v>
      </c>
    </row>
    <row r="22" spans="3:36" x14ac:dyDescent="0.25">
      <c r="E22" s="81"/>
      <c r="F22" s="81"/>
      <c r="G22" s="81"/>
      <c r="AB22">
        <v>717</v>
      </c>
      <c r="AC22">
        <v>975</v>
      </c>
      <c r="AE22">
        <v>717</v>
      </c>
      <c r="AH22">
        <v>2164.4250000000002</v>
      </c>
      <c r="AI22">
        <f>AH22*0.65</f>
        <v>1406.8762500000003</v>
      </c>
      <c r="AJ22">
        <f>SUM(AJ20:AJ21)</f>
        <v>3887</v>
      </c>
    </row>
    <row r="23" spans="3:36" x14ac:dyDescent="0.25">
      <c r="E23" s="66"/>
      <c r="F23" s="66"/>
      <c r="G23" s="81"/>
      <c r="V23">
        <f>AB23/10.764</f>
        <v>402.08101077666299</v>
      </c>
      <c r="AB23">
        <f>SUM(AB20:AB22)</f>
        <v>4328</v>
      </c>
      <c r="AC23">
        <f>SUM(AC20:AC22)</f>
        <v>3787</v>
      </c>
      <c r="AD23">
        <f>AC23/10.764</f>
        <v>351.82088442958008</v>
      </c>
      <c r="AE23">
        <f>SUM(AE20:AE22)</f>
        <v>4328.2</v>
      </c>
      <c r="AH23">
        <v>1695</v>
      </c>
      <c r="AI23">
        <f>AH23*0.65</f>
        <v>1101.75</v>
      </c>
    </row>
    <row r="24" spans="3:36" x14ac:dyDescent="0.25">
      <c r="E24" s="66"/>
      <c r="F24" s="97"/>
      <c r="G24" s="81"/>
    </row>
    <row r="25" spans="3:36" x14ac:dyDescent="0.25">
      <c r="E25" s="66"/>
      <c r="F25" s="97"/>
      <c r="G25" s="81"/>
      <c r="AF25">
        <v>2164</v>
      </c>
      <c r="AG25">
        <f>AF25*1.75</f>
        <v>3787</v>
      </c>
      <c r="AJ25">
        <v>1406</v>
      </c>
    </row>
    <row r="26" spans="3:36" x14ac:dyDescent="0.25">
      <c r="E26" s="66"/>
      <c r="F26" s="66"/>
      <c r="G26" s="81"/>
      <c r="AJ26">
        <v>1406</v>
      </c>
    </row>
    <row r="27" spans="3:36" x14ac:dyDescent="0.25">
      <c r="E27" s="66"/>
      <c r="F27" s="66"/>
      <c r="G27" s="81"/>
      <c r="AF27">
        <v>1406</v>
      </c>
      <c r="AH27">
        <v>2812</v>
      </c>
      <c r="AI27">
        <v>3787</v>
      </c>
      <c r="AJ27">
        <f>AI27-AH27</f>
        <v>975</v>
      </c>
    </row>
    <row r="28" spans="3:36" x14ac:dyDescent="0.25">
      <c r="E28" s="66"/>
      <c r="F28" s="97"/>
      <c r="G28" s="81"/>
      <c r="AJ28">
        <f>SUM(AJ25:AJ27)</f>
        <v>3787</v>
      </c>
    </row>
    <row r="29" spans="3:36" x14ac:dyDescent="0.25">
      <c r="E29" s="96"/>
      <c r="F29" s="96"/>
    </row>
    <row r="30" spans="3:36" x14ac:dyDescent="0.25">
      <c r="Q30">
        <v>292.95999999999998</v>
      </c>
      <c r="V30">
        <f>Q30*10.764</f>
        <v>3153.4214399999996</v>
      </c>
      <c r="AB30">
        <v>3787</v>
      </c>
      <c r="AC30">
        <f>AB30/10.764</f>
        <v>351.82088442958008</v>
      </c>
    </row>
    <row r="31" spans="3:36" x14ac:dyDescent="0.25">
      <c r="O31">
        <v>44454907</v>
      </c>
    </row>
    <row r="32" spans="3:36" x14ac:dyDescent="0.25">
      <c r="O32">
        <v>1179801</v>
      </c>
    </row>
    <row r="33" spans="15:30" x14ac:dyDescent="0.25">
      <c r="O33">
        <v>100000</v>
      </c>
      <c r="V33">
        <v>272.95999999999998</v>
      </c>
      <c r="AA33">
        <f>V33/10.764</f>
        <v>25.358602749907096</v>
      </c>
      <c r="AC33">
        <v>272</v>
      </c>
      <c r="AD33">
        <f>AC33*10.764</f>
        <v>2927.808</v>
      </c>
    </row>
    <row r="34" spans="15:30" x14ac:dyDescent="0.25">
      <c r="O34">
        <f>O33+O32+O31</f>
        <v>45734708</v>
      </c>
    </row>
    <row r="35" spans="15:30" x14ac:dyDescent="0.25">
      <c r="Q35">
        <v>272.95999999999998</v>
      </c>
      <c r="V35">
        <f>Q35*10.764</f>
        <v>2938.1414399999994</v>
      </c>
    </row>
  </sheetData>
  <mergeCells count="7">
    <mergeCell ref="C17:G17"/>
    <mergeCell ref="B3:V3"/>
    <mergeCell ref="B10:V10"/>
    <mergeCell ref="B11:V11"/>
    <mergeCell ref="B7:D7"/>
    <mergeCell ref="B8:V8"/>
    <mergeCell ref="B9:V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4"/>
  <sheetViews>
    <sheetView workbookViewId="0">
      <selection activeCell="O14" sqref="O14"/>
    </sheetView>
  </sheetViews>
  <sheetFormatPr defaultRowHeight="15" x14ac:dyDescent="0.25"/>
  <cols>
    <col min="2" max="3" width="8.7109375" customWidth="1"/>
    <col min="4" max="4" width="8.42578125" customWidth="1"/>
    <col min="6" max="6" width="8.5703125" customWidth="1"/>
    <col min="7" max="7" width="7.7109375" customWidth="1"/>
    <col min="8" max="9" width="9" customWidth="1"/>
    <col min="10" max="12" width="13.28515625" bestFit="1" customWidth="1"/>
    <col min="13" max="13" width="11" customWidth="1"/>
    <col min="14" max="14" width="13.28515625" bestFit="1" customWidth="1"/>
  </cols>
  <sheetData>
    <row r="3" spans="2:16" ht="15.75" x14ac:dyDescent="0.25">
      <c r="B3" s="126" t="s">
        <v>26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t="s">
        <v>73</v>
      </c>
    </row>
    <row r="4" spans="2:16" ht="105" x14ac:dyDescent="0.25">
      <c r="B4" s="23" t="s">
        <v>27</v>
      </c>
      <c r="C4" s="23" t="s">
        <v>14</v>
      </c>
      <c r="D4" s="23" t="s">
        <v>15</v>
      </c>
      <c r="E4" s="23" t="s">
        <v>16</v>
      </c>
      <c r="F4" s="23" t="s">
        <v>17</v>
      </c>
      <c r="G4" s="23" t="s">
        <v>18</v>
      </c>
      <c r="H4" s="23" t="s">
        <v>19</v>
      </c>
      <c r="I4" s="23" t="s">
        <v>28</v>
      </c>
      <c r="J4" s="23" t="s">
        <v>20</v>
      </c>
      <c r="K4" s="23" t="s">
        <v>29</v>
      </c>
      <c r="L4" s="23" t="s">
        <v>30</v>
      </c>
      <c r="M4" s="23" t="s">
        <v>22</v>
      </c>
      <c r="N4" s="23" t="s">
        <v>23</v>
      </c>
    </row>
    <row r="5" spans="2:16" x14ac:dyDescent="0.25">
      <c r="B5" s="26">
        <v>25</v>
      </c>
      <c r="C5" s="90">
        <v>1995</v>
      </c>
      <c r="D5" s="9">
        <v>2025</v>
      </c>
      <c r="E5" s="9">
        <v>30</v>
      </c>
      <c r="F5" s="9">
        <v>60</v>
      </c>
      <c r="G5" s="27">
        <v>0.1</v>
      </c>
      <c r="H5" s="28">
        <f>(1-G5)/F5</f>
        <v>1.5000000000000001E-2</v>
      </c>
      <c r="I5" s="83">
        <v>4000</v>
      </c>
      <c r="J5" s="29">
        <f>I5*B5</f>
        <v>100000</v>
      </c>
      <c r="K5" s="29">
        <f>J5*H5*E5</f>
        <v>45000.000000000007</v>
      </c>
      <c r="L5" s="29">
        <f>MAX(J5-K5,0)</f>
        <v>54999.999999999993</v>
      </c>
      <c r="M5" s="30"/>
      <c r="N5" s="29">
        <f>IF(L5&gt;G5*J5,L5*(1-M5),J5*G5)</f>
        <v>54999.999999999993</v>
      </c>
    </row>
    <row r="8" spans="2:16" ht="91.5" x14ac:dyDescent="0.25">
      <c r="B8" s="23" t="s">
        <v>32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3" t="s">
        <v>28</v>
      </c>
      <c r="J8" s="23" t="s">
        <v>20</v>
      </c>
      <c r="K8" s="23" t="s">
        <v>29</v>
      </c>
      <c r="L8" s="23" t="s">
        <v>30</v>
      </c>
      <c r="M8" s="23" t="s">
        <v>22</v>
      </c>
      <c r="N8" s="23" t="s">
        <v>23</v>
      </c>
    </row>
    <row r="9" spans="2:16" x14ac:dyDescent="0.25">
      <c r="B9" s="26"/>
      <c r="C9" s="9"/>
      <c r="D9" s="9"/>
      <c r="E9" s="9"/>
      <c r="F9" s="9"/>
      <c r="G9" s="27"/>
      <c r="H9" s="28"/>
      <c r="I9" s="29"/>
      <c r="J9" s="29"/>
      <c r="K9" s="29"/>
      <c r="L9" s="29"/>
      <c r="M9" s="30"/>
      <c r="N9" s="29"/>
    </row>
    <row r="11" spans="2:16" x14ac:dyDescent="0.25">
      <c r="B11" t="s">
        <v>65</v>
      </c>
      <c r="C11">
        <v>2222.77</v>
      </c>
      <c r="D11">
        <v>22000</v>
      </c>
      <c r="E11">
        <f>D11*C11</f>
        <v>48900940</v>
      </c>
    </row>
    <row r="12" spans="2:16" x14ac:dyDescent="0.25">
      <c r="B12" t="s">
        <v>25</v>
      </c>
      <c r="E12">
        <v>195000</v>
      </c>
      <c r="M12" s="59" t="s">
        <v>2</v>
      </c>
      <c r="N12" s="67">
        <f>N5</f>
        <v>54999.999999999993</v>
      </c>
      <c r="P12" s="109"/>
    </row>
    <row r="13" spans="2:16" x14ac:dyDescent="0.25">
      <c r="E13">
        <v>1179520</v>
      </c>
      <c r="M13" s="59" t="s">
        <v>73</v>
      </c>
      <c r="N13" s="67">
        <v>5000</v>
      </c>
    </row>
    <row r="14" spans="2:16" x14ac:dyDescent="0.25">
      <c r="E14">
        <f>E13+E12+E11</f>
        <v>50275460</v>
      </c>
      <c r="M14" s="59" t="s">
        <v>2</v>
      </c>
      <c r="N14" s="67">
        <f>N13+N12</f>
        <v>59999.999999999993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Building Sheet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2025-05-30T13:12:27Z</dcterms:modified>
</cp:coreProperties>
</file>